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ограмма энергосбережения\Программы\Сети\2020-2024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дисконт" sheetId="3" r:id="rId3"/>
  </sheets>
  <definedNames>
    <definedName name="_xlnm.Print_Area" localSheetId="0">Лист1!$A$1:$AK$20</definedName>
    <definedName name="ценапот">Лист2!$B$18</definedName>
    <definedName name="ценатеп">Лист2!$C$48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R18" i="1" s="1"/>
  <c r="U18" i="1" s="1"/>
  <c r="X18" i="1" s="1"/>
  <c r="L20" i="1"/>
  <c r="D11" i="2"/>
  <c r="AE20" i="1" l="1"/>
  <c r="AF20" i="1"/>
  <c r="AG20" i="1"/>
  <c r="AH20" i="1"/>
  <c r="AI20" i="1"/>
  <c r="D26" i="2"/>
  <c r="C49" i="2"/>
  <c r="H46" i="2"/>
  <c r="H51" i="2" s="1"/>
  <c r="G46" i="2"/>
  <c r="G49" i="2" s="1"/>
  <c r="F46" i="2"/>
  <c r="F51" i="2" s="1"/>
  <c r="E46" i="2"/>
  <c r="E47" i="2" s="1"/>
  <c r="D46" i="2"/>
  <c r="D47" i="2" s="1"/>
  <c r="C44" i="2"/>
  <c r="C42" i="2"/>
  <c r="C47" i="2"/>
  <c r="C40" i="2"/>
  <c r="H39" i="2"/>
  <c r="H40" i="2" s="1"/>
  <c r="G39" i="2"/>
  <c r="G40" i="2" s="1"/>
  <c r="F39" i="2"/>
  <c r="F40" i="2" s="1"/>
  <c r="E39" i="2"/>
  <c r="E40" i="2" s="1"/>
  <c r="D39" i="2"/>
  <c r="D40" i="2" s="1"/>
  <c r="R29" i="2"/>
  <c r="O15" i="1"/>
  <c r="G51" i="2" l="1"/>
  <c r="F42" i="2"/>
  <c r="R15" i="1"/>
  <c r="O20" i="1"/>
  <c r="E26" i="2" s="1"/>
  <c r="H49" i="2"/>
  <c r="D49" i="2"/>
  <c r="E44" i="2"/>
  <c r="H44" i="2"/>
  <c r="D44" i="2"/>
  <c r="D51" i="2"/>
  <c r="E42" i="2"/>
  <c r="F47" i="2"/>
  <c r="G44" i="2"/>
  <c r="F49" i="2"/>
  <c r="E51" i="2"/>
  <c r="F44" i="2"/>
  <c r="E49" i="2"/>
  <c r="H47" i="2"/>
  <c r="G47" i="2"/>
  <c r="H42" i="2"/>
  <c r="D42" i="2"/>
  <c r="G42" i="2"/>
  <c r="F86" i="3"/>
  <c r="E86" i="3"/>
  <c r="D86" i="3"/>
  <c r="C86" i="3"/>
  <c r="B86" i="3"/>
  <c r="F80" i="3"/>
  <c r="E80" i="3"/>
  <c r="D80" i="3"/>
  <c r="C80" i="3"/>
  <c r="B80" i="3"/>
  <c r="F74" i="3"/>
  <c r="E74" i="3"/>
  <c r="D74" i="3"/>
  <c r="C74" i="3"/>
  <c r="B74" i="3"/>
  <c r="F68" i="3"/>
  <c r="E68" i="3"/>
  <c r="D68" i="3"/>
  <c r="C68" i="3"/>
  <c r="B68" i="3"/>
  <c r="F62" i="3"/>
  <c r="E62" i="3"/>
  <c r="D62" i="3"/>
  <c r="C62" i="3"/>
  <c r="B62" i="3"/>
  <c r="F56" i="3"/>
  <c r="E56" i="3"/>
  <c r="D56" i="3"/>
  <c r="C56" i="3"/>
  <c r="B56" i="3"/>
  <c r="F50" i="3"/>
  <c r="E50" i="3"/>
  <c r="D50" i="3"/>
  <c r="C50" i="3"/>
  <c r="B50" i="3"/>
  <c r="F44" i="3"/>
  <c r="E44" i="3"/>
  <c r="D44" i="3"/>
  <c r="C44" i="3"/>
  <c r="B44" i="3"/>
  <c r="F45" i="3"/>
  <c r="F51" i="3"/>
  <c r="Y17" i="1"/>
  <c r="Z17" i="1"/>
  <c r="F57" i="3" s="1"/>
  <c r="F63" i="3"/>
  <c r="Y18" i="1"/>
  <c r="Z18" i="1"/>
  <c r="F69" i="3" s="1"/>
  <c r="Y19" i="1"/>
  <c r="Z19" i="1"/>
  <c r="F75" i="3" s="1"/>
  <c r="F81" i="3"/>
  <c r="F83" i="3" s="1"/>
  <c r="E45" i="3"/>
  <c r="E51" i="3"/>
  <c r="V17" i="1"/>
  <c r="W17" i="1"/>
  <c r="E57" i="3" s="1"/>
  <c r="E63" i="3"/>
  <c r="V18" i="1"/>
  <c r="W18" i="1"/>
  <c r="E69" i="3" s="1"/>
  <c r="V19" i="1"/>
  <c r="W19" i="1"/>
  <c r="E75" i="3" s="1"/>
  <c r="E81" i="3"/>
  <c r="E83" i="3" s="1"/>
  <c r="D45" i="3"/>
  <c r="D51" i="3"/>
  <c r="S17" i="1"/>
  <c r="T17" i="1"/>
  <c r="D57" i="3" s="1"/>
  <c r="D63" i="3"/>
  <c r="S18" i="1"/>
  <c r="T18" i="1"/>
  <c r="D69" i="3" s="1"/>
  <c r="S19" i="1"/>
  <c r="T19" i="1"/>
  <c r="D75" i="3" s="1"/>
  <c r="D81" i="3"/>
  <c r="D83" i="3" s="1"/>
  <c r="C45" i="3"/>
  <c r="C51" i="3"/>
  <c r="P17" i="1"/>
  <c r="Q17" i="1"/>
  <c r="C57" i="3" s="1"/>
  <c r="C63" i="3"/>
  <c r="P18" i="1"/>
  <c r="Q18" i="1"/>
  <c r="C69" i="3" s="1"/>
  <c r="P19" i="1"/>
  <c r="Q19" i="1"/>
  <c r="C75" i="3" s="1"/>
  <c r="C81" i="3"/>
  <c r="B45" i="3"/>
  <c r="B51" i="3"/>
  <c r="M17" i="1"/>
  <c r="N17" i="1"/>
  <c r="B57" i="3" s="1"/>
  <c r="B63" i="3"/>
  <c r="M18" i="1"/>
  <c r="N18" i="1"/>
  <c r="B69" i="3" s="1"/>
  <c r="M19" i="1"/>
  <c r="N19" i="1"/>
  <c r="B75" i="3" s="1"/>
  <c r="B81" i="3"/>
  <c r="B83" i="3" s="1"/>
  <c r="K17" i="1"/>
  <c r="K18" i="1"/>
  <c r="K19" i="1"/>
  <c r="D17" i="1"/>
  <c r="D18" i="1"/>
  <c r="D19" i="1"/>
  <c r="U15" i="1" l="1"/>
  <c r="R20" i="1"/>
  <c r="F26" i="2" s="1"/>
  <c r="G86" i="3"/>
  <c r="T29" i="2"/>
  <c r="S29" i="2"/>
  <c r="F87" i="3"/>
  <c r="F89" i="3" s="1"/>
  <c r="E87" i="3"/>
  <c r="E89" i="3" s="1"/>
  <c r="D87" i="3"/>
  <c r="D89" i="3" s="1"/>
  <c r="C87" i="3"/>
  <c r="C89" i="3" s="1"/>
  <c r="B87" i="3"/>
  <c r="B89" i="3" s="1"/>
  <c r="G81" i="3"/>
  <c r="C83" i="3"/>
  <c r="G83" i="3" s="1"/>
  <c r="I83" i="3" s="1"/>
  <c r="G80" i="3"/>
  <c r="E77" i="3"/>
  <c r="D77" i="3"/>
  <c r="C77" i="3"/>
  <c r="F71" i="3"/>
  <c r="E71" i="3"/>
  <c r="D71" i="3"/>
  <c r="C71" i="3"/>
  <c r="B71" i="3"/>
  <c r="C65" i="3"/>
  <c r="F59" i="3"/>
  <c r="E59" i="3"/>
  <c r="D59" i="3"/>
  <c r="C59" i="3"/>
  <c r="B59" i="3"/>
  <c r="F53" i="3"/>
  <c r="E53" i="3"/>
  <c r="D53" i="3"/>
  <c r="C53" i="3"/>
  <c r="F47" i="3"/>
  <c r="E47" i="3"/>
  <c r="D47" i="3"/>
  <c r="C47" i="3"/>
  <c r="B47" i="3"/>
  <c r="F38" i="3"/>
  <c r="E38" i="3"/>
  <c r="D38" i="3"/>
  <c r="C38" i="3"/>
  <c r="B38" i="3"/>
  <c r="F32" i="3"/>
  <c r="E32" i="3"/>
  <c r="D32" i="3"/>
  <c r="C32" i="3"/>
  <c r="B32" i="3"/>
  <c r="F26" i="3"/>
  <c r="E26" i="3"/>
  <c r="D26" i="3"/>
  <c r="C26" i="3"/>
  <c r="B26" i="3"/>
  <c r="F20" i="3"/>
  <c r="E20" i="3"/>
  <c r="D20" i="3"/>
  <c r="C20" i="3"/>
  <c r="B20" i="3"/>
  <c r="F77" i="3"/>
  <c r="B77" i="3"/>
  <c r="F65" i="3"/>
  <c r="E65" i="3"/>
  <c r="D65" i="3"/>
  <c r="F14" i="3"/>
  <c r="E14" i="3"/>
  <c r="D14" i="3"/>
  <c r="C14" i="3"/>
  <c r="B14" i="3"/>
  <c r="F8" i="3"/>
  <c r="E8" i="3"/>
  <c r="D8" i="3"/>
  <c r="C8" i="3"/>
  <c r="B8" i="3"/>
  <c r="K13" i="1"/>
  <c r="K14" i="1"/>
  <c r="K16" i="1"/>
  <c r="M14" i="1"/>
  <c r="M15" i="1"/>
  <c r="M16" i="1"/>
  <c r="P14" i="1"/>
  <c r="P15" i="1"/>
  <c r="P16" i="1"/>
  <c r="S13" i="1"/>
  <c r="S14" i="1"/>
  <c r="S15" i="1"/>
  <c r="S16" i="1"/>
  <c r="V12" i="1"/>
  <c r="V13" i="1"/>
  <c r="V14" i="1"/>
  <c r="V15" i="1"/>
  <c r="V16" i="1"/>
  <c r="Y12" i="1"/>
  <c r="Y13" i="1"/>
  <c r="Y14" i="1"/>
  <c r="Y16" i="1"/>
  <c r="Z12" i="1"/>
  <c r="F9" i="3" s="1"/>
  <c r="Z13" i="1"/>
  <c r="F15" i="3" s="1"/>
  <c r="F17" i="3" s="1"/>
  <c r="Z14" i="1"/>
  <c r="F21" i="3" s="1"/>
  <c r="F23" i="3" s="1"/>
  <c r="Z16" i="1"/>
  <c r="F39" i="3"/>
  <c r="F41" i="3" s="1"/>
  <c r="Z11" i="1"/>
  <c r="W12" i="1"/>
  <c r="E9" i="3" s="1"/>
  <c r="W13" i="1"/>
  <c r="E15" i="3" s="1"/>
  <c r="E17" i="3" s="1"/>
  <c r="W14" i="1"/>
  <c r="E21" i="3" s="1"/>
  <c r="E23" i="3" s="1"/>
  <c r="W15" i="1"/>
  <c r="W16" i="1"/>
  <c r="E39" i="3"/>
  <c r="E41" i="3" s="1"/>
  <c r="W11" i="1"/>
  <c r="T12" i="1"/>
  <c r="D9" i="3" s="1"/>
  <c r="T13" i="1"/>
  <c r="D15" i="3" s="1"/>
  <c r="D17" i="3" s="1"/>
  <c r="T14" i="1"/>
  <c r="D21" i="3" s="1"/>
  <c r="D23" i="3" s="1"/>
  <c r="T15" i="1"/>
  <c r="T16" i="1"/>
  <c r="D39" i="3"/>
  <c r="D41" i="3" s="1"/>
  <c r="T11" i="1"/>
  <c r="Q12" i="1"/>
  <c r="C9" i="3" s="1"/>
  <c r="Q13" i="1"/>
  <c r="C15" i="3" s="1"/>
  <c r="C17" i="3" s="1"/>
  <c r="Q14" i="1"/>
  <c r="C21" i="3" s="1"/>
  <c r="C23" i="3" s="1"/>
  <c r="Q15" i="1"/>
  <c r="Q16" i="1"/>
  <c r="C39" i="3"/>
  <c r="C41" i="3" s="1"/>
  <c r="Q11" i="1"/>
  <c r="N12" i="1"/>
  <c r="B9" i="3" s="1"/>
  <c r="B11" i="3" s="1"/>
  <c r="N13" i="1"/>
  <c r="B15" i="3" s="1"/>
  <c r="B17" i="3" s="1"/>
  <c r="N14" i="1"/>
  <c r="B21" i="3" s="1"/>
  <c r="B23" i="3" s="1"/>
  <c r="N15" i="1"/>
  <c r="N20" i="1" s="1"/>
  <c r="N16" i="1"/>
  <c r="B39" i="3"/>
  <c r="N11" i="1"/>
  <c r="K12" i="1"/>
  <c r="S12" i="1"/>
  <c r="P12" i="1"/>
  <c r="M12" i="1"/>
  <c r="W20" i="1" l="1"/>
  <c r="T20" i="1"/>
  <c r="Q20" i="1"/>
  <c r="X15" i="1"/>
  <c r="U20" i="1"/>
  <c r="G26" i="2" s="1"/>
  <c r="F33" i="3"/>
  <c r="F35" i="3" s="1"/>
  <c r="E33" i="3"/>
  <c r="E35" i="3" s="1"/>
  <c r="D33" i="3"/>
  <c r="D35" i="3" s="1"/>
  <c r="G35" i="3" s="1"/>
  <c r="C33" i="3"/>
  <c r="C35" i="3" s="1"/>
  <c r="B33" i="3"/>
  <c r="B35" i="3" s="1"/>
  <c r="G89" i="3"/>
  <c r="I89" i="3" s="1"/>
  <c r="J89" i="3" s="1"/>
  <c r="J83" i="3"/>
  <c r="G87" i="3"/>
  <c r="E27" i="3"/>
  <c r="E29" i="3" s="1"/>
  <c r="D27" i="3"/>
  <c r="D29" i="3" s="1"/>
  <c r="C27" i="3"/>
  <c r="C29" i="3" s="1"/>
  <c r="B27" i="3"/>
  <c r="B29" i="3" s="1"/>
  <c r="G85" i="3"/>
  <c r="G84" i="3"/>
  <c r="G56" i="3"/>
  <c r="G74" i="3"/>
  <c r="G14" i="3"/>
  <c r="G38" i="3"/>
  <c r="G50" i="3"/>
  <c r="G51" i="3"/>
  <c r="G63" i="3"/>
  <c r="G62" i="3"/>
  <c r="B65" i="3"/>
  <c r="G20" i="3"/>
  <c r="G44" i="3"/>
  <c r="G68" i="3"/>
  <c r="G39" i="3"/>
  <c r="B41" i="3"/>
  <c r="G41" i="3" s="1"/>
  <c r="I41" i="3" s="1"/>
  <c r="G32" i="3"/>
  <c r="G26" i="3"/>
  <c r="G77" i="3"/>
  <c r="I77" i="3" s="1"/>
  <c r="G75" i="3"/>
  <c r="G71" i="3"/>
  <c r="I71" i="3" s="1"/>
  <c r="G69" i="3"/>
  <c r="G65" i="3"/>
  <c r="I65" i="3" s="1"/>
  <c r="G59" i="3"/>
  <c r="G57" i="3"/>
  <c r="B53" i="3"/>
  <c r="G53" i="3" s="1"/>
  <c r="I53" i="3" s="1"/>
  <c r="G47" i="3"/>
  <c r="I47" i="3" s="1"/>
  <c r="G45" i="3"/>
  <c r="G23" i="3"/>
  <c r="G21" i="3"/>
  <c r="G15" i="3"/>
  <c r="G17" i="3"/>
  <c r="G19" i="3" s="1"/>
  <c r="D12" i="1"/>
  <c r="D13" i="1"/>
  <c r="D14" i="1"/>
  <c r="D15" i="1"/>
  <c r="D16" i="1"/>
  <c r="J53" i="3" l="1"/>
  <c r="G33" i="3"/>
  <c r="G61" i="3"/>
  <c r="X20" i="1"/>
  <c r="H26" i="2" s="1"/>
  <c r="Z15" i="1"/>
  <c r="K15" i="1"/>
  <c r="Y15" i="1"/>
  <c r="J41" i="3"/>
  <c r="J47" i="3"/>
  <c r="G90" i="3"/>
  <c r="G91" i="3"/>
  <c r="G18" i="3"/>
  <c r="AC13" i="1" s="1"/>
  <c r="J71" i="3"/>
  <c r="AA18" i="1" s="1"/>
  <c r="J65" i="3"/>
  <c r="J77" i="3"/>
  <c r="AA19" i="1" s="1"/>
  <c r="G66" i="3"/>
  <c r="G73" i="3"/>
  <c r="AB18" i="1" s="1"/>
  <c r="G42" i="3"/>
  <c r="G24" i="3"/>
  <c r="AC14" i="1" s="1"/>
  <c r="G67" i="3"/>
  <c r="G79" i="3"/>
  <c r="AB19" i="1" s="1"/>
  <c r="G55" i="3"/>
  <c r="G25" i="3"/>
  <c r="AB14" i="1" s="1"/>
  <c r="G48" i="3"/>
  <c r="G49" i="3"/>
  <c r="G72" i="3"/>
  <c r="AC18" i="1" s="1"/>
  <c r="G60" i="3"/>
  <c r="AC17" i="1" s="1"/>
  <c r="G37" i="3"/>
  <c r="G78" i="3"/>
  <c r="AC19" i="1" s="1"/>
  <c r="G54" i="3"/>
  <c r="G43" i="3"/>
  <c r="G36" i="3"/>
  <c r="AC16" i="1" s="1"/>
  <c r="F2" i="3"/>
  <c r="E2" i="3"/>
  <c r="D2" i="3"/>
  <c r="C2" i="3"/>
  <c r="B2" i="3"/>
  <c r="K11" i="1"/>
  <c r="F3" i="3"/>
  <c r="F5" i="3" s="1"/>
  <c r="Y11" i="1"/>
  <c r="E3" i="3"/>
  <c r="E5" i="3" s="1"/>
  <c r="V11" i="1"/>
  <c r="V20" i="1" s="1"/>
  <c r="D3" i="3"/>
  <c r="D5" i="3" s="1"/>
  <c r="S11" i="1"/>
  <c r="S20" i="1" s="1"/>
  <c r="C3" i="3"/>
  <c r="C5" i="3" s="1"/>
  <c r="P13" i="1"/>
  <c r="P11" i="1"/>
  <c r="P20" i="1" s="1"/>
  <c r="B3" i="3"/>
  <c r="B5" i="3" s="1"/>
  <c r="M13" i="1"/>
  <c r="M11" i="1"/>
  <c r="M20" i="1" s="1"/>
  <c r="D11" i="1"/>
  <c r="Y20" i="1" l="1"/>
  <c r="K20" i="1"/>
  <c r="Z20" i="1"/>
  <c r="F27" i="3"/>
  <c r="G2" i="3"/>
  <c r="G5" i="3"/>
  <c r="G3" i="3"/>
  <c r="F29" i="3" l="1"/>
  <c r="G29" i="3" s="1"/>
  <c r="G27" i="3"/>
  <c r="G6" i="3"/>
  <c r="AC11" i="1" s="1"/>
  <c r="G7" i="3"/>
  <c r="AB11" i="1" s="1"/>
  <c r="M26" i="2"/>
  <c r="I29" i="3" l="1"/>
  <c r="J29" i="3" s="1"/>
  <c r="G31" i="3"/>
  <c r="AB15" i="1" s="1"/>
  <c r="G30" i="3"/>
  <c r="AC15" i="1" s="1"/>
  <c r="M28" i="2"/>
  <c r="E11" i="2"/>
  <c r="E16" i="2" s="1"/>
  <c r="E18" i="2" s="1"/>
  <c r="F11" i="2"/>
  <c r="F16" i="2" s="1"/>
  <c r="G11" i="2"/>
  <c r="G16" i="2" s="1"/>
  <c r="H11" i="2"/>
  <c r="H16" i="2" s="1"/>
  <c r="H18" i="2" s="1"/>
  <c r="D16" i="2"/>
  <c r="D17" i="2" s="1"/>
  <c r="C11" i="2"/>
  <c r="C12" i="2" s="1"/>
  <c r="C29" i="2" s="1"/>
  <c r="H12" i="2"/>
  <c r="H29" i="2" s="1"/>
  <c r="D36" i="2"/>
  <c r="E36" i="2"/>
  <c r="F36" i="2"/>
  <c r="G36" i="2"/>
  <c r="H36" i="2"/>
  <c r="C36" i="2"/>
  <c r="E27" i="2"/>
  <c r="E30" i="2" s="1"/>
  <c r="F27" i="2"/>
  <c r="F30" i="2" s="1"/>
  <c r="G27" i="2"/>
  <c r="G30" i="2" s="1"/>
  <c r="H27" i="2"/>
  <c r="H30" i="2" s="1"/>
  <c r="D27" i="2"/>
  <c r="D30" i="2" s="1"/>
  <c r="D25" i="2"/>
  <c r="E25" i="2"/>
  <c r="F25" i="2"/>
  <c r="G25" i="2"/>
  <c r="H25" i="2"/>
  <c r="C25" i="2"/>
  <c r="F12" i="2" l="1"/>
  <c r="F29" i="2" s="1"/>
  <c r="E12" i="2"/>
  <c r="E29" i="2" s="1"/>
  <c r="F17" i="2"/>
  <c r="F18" i="2"/>
  <c r="E17" i="2"/>
  <c r="H17" i="2"/>
  <c r="G17" i="2"/>
  <c r="G18" i="2"/>
  <c r="M16" i="2"/>
  <c r="M27" i="2" s="1"/>
  <c r="D18" i="2"/>
  <c r="G12" i="2"/>
  <c r="G29" i="2" s="1"/>
  <c r="D12" i="2"/>
  <c r="D29" i="2" s="1"/>
  <c r="M18" i="2" l="1"/>
  <c r="M29" i="2" s="1"/>
  <c r="M17" i="2"/>
  <c r="G8" i="3"/>
  <c r="H2" i="3"/>
  <c r="H3" i="3" l="1"/>
  <c r="E11" i="3" l="1"/>
  <c r="D11" i="3"/>
  <c r="F11" i="3" l="1"/>
  <c r="C11" i="3" l="1"/>
  <c r="G11" i="3" l="1"/>
  <c r="G9" i="3"/>
  <c r="G12" i="3" l="1"/>
  <c r="AC12" i="1" s="1"/>
  <c r="G13" i="3"/>
</calcChain>
</file>

<file path=xl/comments1.xml><?xml version="1.0" encoding="utf-8"?>
<comments xmlns="http://schemas.openxmlformats.org/spreadsheetml/2006/main">
  <authors>
    <author>1</author>
  </authors>
  <commentList>
    <comment ref="M13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коэф=0,3445 для 1 тыс.кВт.ч.
Для перерасчета топлива и энергии в терраджоули используется следующий порядок:
- 1 тонна (тыс. м³, тыс. кВт. ч, Гкал), умноженная на коэффициент перерасчета в условное топливо,
  равняется 1 тонне условного топлива.
- 1 тонна условного топлива, умноженная на 0,0293076, равняется 1 тераджоулю.
Постановление Госкомстата от 23 июня 1999 г. №46 «Об утверждении «методологических положений по расчету топливно-энергетического баланса Российской Федерации в соответствии с международной практикой».
</t>
        </r>
      </text>
    </comment>
  </commentList>
</comments>
</file>

<file path=xl/comments2.xml><?xml version="1.0" encoding="utf-8"?>
<comments xmlns="http://schemas.openxmlformats.org/spreadsheetml/2006/main">
  <authors>
    <author>Недашковский Валерий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Недашковский Валерий:</t>
        </r>
        <r>
          <rPr>
            <sz val="9"/>
            <color indexed="81"/>
            <rFont val="Tahoma"/>
            <charset val="1"/>
          </rPr>
          <t xml:space="preserve">
% потерь базового года
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 министерства экономического развития РФ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Инфляция по прогнозу на 2015</t>
        </r>
      </text>
    </comment>
  </commentList>
</comments>
</file>

<file path=xl/sharedStrings.xml><?xml version="1.0" encoding="utf-8"?>
<sst xmlns="http://schemas.openxmlformats.org/spreadsheetml/2006/main" count="238" uniqueCount="76">
  <si>
    <t>N п/п</t>
  </si>
  <si>
    <t>Наименование мероприятия</t>
  </si>
  <si>
    <t>Объемы выполнения (план) с разбивкой 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</si>
  <si>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</si>
  <si>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</si>
  <si>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амортизации, лет</t>
  </si>
  <si>
    <t>Затраты (план), млн. руб. (без НДС), с разбивкой по годам действия программы</t>
  </si>
  <si>
    <t>Статья затрат</t>
  </si>
  <si>
    <t>Источник финансирования</t>
  </si>
  <si>
    <t>ед. измерения</t>
  </si>
  <si>
    <t>всего по годам экономия в указанной размерности</t>
  </si>
  <si>
    <t>численное значение экономии в указанной размерности</t>
  </si>
  <si>
    <t>численное значение экономии, т у. 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</si>
  <si>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</si>
  <si>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</si>
  <si>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</si>
  <si>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</si>
  <si>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всего</t>
  </si>
  <si>
    <t>ПЕРЕЧЕНЬ</t>
  </si>
  <si>
    <t>МЕРОПРИЯТИЙ,  ОСНОВНОЙ ЦЕЛЬЮ КОТОРЫХ ЯВЛЯЕТСЯ</t>
  </si>
  <si>
    <t>ЭНЕРГОСБЕРЕЖЕНИЕ И (ИЛИ) ПОВЫШЕНИЕ</t>
  </si>
  <si>
    <t>ЭНЕРГЕТИЧЕСКОЙ ЭФФЕКТИВНОСТИ</t>
  </si>
  <si>
    <t>шт</t>
  </si>
  <si>
    <t>тыс.кВт.ч.</t>
  </si>
  <si>
    <t xml:space="preserve">потери </t>
  </si>
  <si>
    <t>снижение</t>
  </si>
  <si>
    <t>стоимость тыс.руб</t>
  </si>
  <si>
    <t>ставка дисконтирования</t>
  </si>
  <si>
    <t>чистый денежный поток</t>
  </si>
  <si>
    <t>ЧДД</t>
  </si>
  <si>
    <t>ВНД%</t>
  </si>
  <si>
    <t>Диск.денежный поток</t>
  </si>
  <si>
    <t>отпус в сеть</t>
  </si>
  <si>
    <t>т.у.т</t>
  </si>
  <si>
    <t>собственные средства</t>
  </si>
  <si>
    <t>http://www.ecoteco.ru/library/magazine/5/technologies/poryadok-pererascheta-pokazateley-v-uslovnoe-toplivo-i-teradzhouli/</t>
  </si>
  <si>
    <t>ДДП</t>
  </si>
  <si>
    <t>отпуск в сеть</t>
  </si>
  <si>
    <t>ПО</t>
  </si>
  <si>
    <t>потери</t>
  </si>
  <si>
    <t>дельта</t>
  </si>
  <si>
    <t>тут ОС</t>
  </si>
  <si>
    <t>тут дельта</t>
  </si>
  <si>
    <t>% потерь</t>
  </si>
  <si>
    <t xml:space="preserve">при % </t>
  </si>
  <si>
    <t>Итого:</t>
  </si>
  <si>
    <t>цена потерь</t>
  </si>
  <si>
    <t>дельта цены от % потерь 2014года</t>
  </si>
  <si>
    <t>при % потерь 2014</t>
  </si>
  <si>
    <t>План 2015-2019</t>
  </si>
  <si>
    <t>дельта потерь</t>
  </si>
  <si>
    <t>прочие</t>
  </si>
  <si>
    <t>2020г.</t>
  </si>
  <si>
    <t>2021г.</t>
  </si>
  <si>
    <t>2022г.</t>
  </si>
  <si>
    <t>2023г.</t>
  </si>
  <si>
    <t>2024г.</t>
  </si>
  <si>
    <t>Проведение обязательного энергетического обследования</t>
  </si>
  <si>
    <t>тыс.куб.м.</t>
  </si>
  <si>
    <t>Анализ качества предоставляемых услуг</t>
  </si>
  <si>
    <t>нет</t>
  </si>
  <si>
    <t>Оценка аварийности в сетях</t>
  </si>
  <si>
    <t>цена пот</t>
  </si>
  <si>
    <t>Создание отдела группы автоматизированной системы управления на базе персонала компании</t>
  </si>
  <si>
    <t>Замена уличных светильников на светодиодные</t>
  </si>
  <si>
    <t>Внедрение автоматизации включения/выключения системы освещения и отопления</t>
  </si>
  <si>
    <t>Тепло</t>
  </si>
  <si>
    <t>Хоз нужды</t>
  </si>
  <si>
    <t>ээ</t>
  </si>
  <si>
    <t>цена за кВт.ч.</t>
  </si>
  <si>
    <t>цена за Гкал</t>
  </si>
  <si>
    <t>стоимость</t>
  </si>
  <si>
    <t>потери сниж</t>
  </si>
  <si>
    <t>Рахработка и внедрение в работу положений для диспетчерского персонала по оптимизации режимов электросетей по активной и реактивной мощности</t>
  </si>
  <si>
    <t>Установка микропроцессорных защит</t>
  </si>
  <si>
    <t>Замена высоковольтных (6 кВ) масляных выключателей на вакуумные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</si>
</sst>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0"/>
    <numFmt numFmtId="167" formatCode="0.000000"/>
    <numFmt numFmtId="168" formatCode="&quot;$&quot;#,##0_);[Red]\(&quot;$&quot;#,##0\)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" fontId="3" fillId="4" borderId="0" applyFont="0" applyBorder="0">
      <alignment horizontal="right"/>
    </xf>
    <xf numFmtId="0" fontId="7" fillId="0" borderId="0" applyNumberFormat="0" applyFill="0" applyBorder="0" applyAlignment="0" applyProtection="0"/>
    <xf numFmtId="0" fontId="8" fillId="0" borderId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18" fillId="0" borderId="3" applyBorder="0">
      <alignment horizontal="center" vertical="center" wrapText="1"/>
    </xf>
    <xf numFmtId="4" fontId="3" fillId="5" borderId="1" applyBorder="0">
      <alignment horizontal="right"/>
    </xf>
    <xf numFmtId="0" fontId="10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4" fontId="3" fillId="4" borderId="4" applyBorder="0">
      <alignment horizontal="right"/>
    </xf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6" fontId="0" fillId="0" borderId="0" xfId="0" applyNumberFormat="1"/>
    <xf numFmtId="166" fontId="4" fillId="4" borderId="1" xfId="1" applyNumberFormat="1" applyFont="1" applyBorder="1" applyProtection="1">
      <alignment horizontal="right"/>
    </xf>
    <xf numFmtId="166" fontId="0" fillId="0" borderId="1" xfId="0" applyNumberForma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2" xfId="0" applyFill="1" applyBorder="1"/>
    <xf numFmtId="2" fontId="2" fillId="0" borderId="1" xfId="0" applyNumberFormat="1" applyFont="1" applyBorder="1"/>
    <xf numFmtId="0" fontId="7" fillId="0" borderId="0" xfId="2"/>
    <xf numFmtId="0" fontId="0" fillId="2" borderId="0" xfId="0" applyFill="1"/>
    <xf numFmtId="166" fontId="4" fillId="2" borderId="1" xfId="1" applyNumberFormat="1" applyFont="1" applyFill="1" applyBorder="1" applyProtection="1">
      <alignment horizontal="right"/>
    </xf>
    <xf numFmtId="166" fontId="4" fillId="0" borderId="4" xfId="1" applyNumberFormat="1" applyFont="1" applyFill="1" applyBorder="1" applyProtection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0" xfId="0" applyNumberFormat="1"/>
    <xf numFmtId="1" fontId="0" fillId="0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/>
    <xf numFmtId="2" fontId="0" fillId="0" borderId="0" xfId="0" applyNumberFormat="1"/>
    <xf numFmtId="0" fontId="2" fillId="0" borderId="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</cellXfs>
  <cellStyles count="20">
    <cellStyle name="Comma [0]_laroux" xfId="4"/>
    <cellStyle name="Comma_laroux" xfId="5"/>
    <cellStyle name="Currency [0]" xfId="6"/>
    <cellStyle name="Currency_laroux" xfId="7"/>
    <cellStyle name="Normal_ASUS" xfId="8"/>
    <cellStyle name="Normal1" xfId="9"/>
    <cellStyle name="Price_Body" xfId="10"/>
    <cellStyle name="Гиперссылка" xfId="2" builtinId="8"/>
    <cellStyle name="Гиперссылка 2" xfId="11"/>
    <cellStyle name="Заголовок" xfId="12"/>
    <cellStyle name="ЗаголовокСтолбца" xfId="13"/>
    <cellStyle name="Значение" xfId="14"/>
    <cellStyle name="Обычный" xfId="0" builtinId="0"/>
    <cellStyle name="Обычный 2" xfId="3"/>
    <cellStyle name="Стиль 1" xfId="15"/>
    <cellStyle name="Тысячи [0]_3Com" xfId="16"/>
    <cellStyle name="Тысячи_3Com" xfId="17"/>
    <cellStyle name="Финансовый 2" xfId="18"/>
    <cellStyle name="Формула" xfId="1"/>
    <cellStyle name="ФормулаВБ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teco.ru/library/magazine/5/technologies/poryadok-pererascheta-pokazateley-v-uslovnoe-toplivo-i-teradzhouli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60" zoomScaleNormal="75" workbookViewId="0">
      <selection sqref="A1:AL1"/>
    </sheetView>
  </sheetViews>
  <sheetFormatPr defaultRowHeight="15"/>
  <cols>
    <col min="2" max="2" width="28.85546875" customWidth="1"/>
    <col min="10" max="10" width="10.7109375" bestFit="1" customWidth="1"/>
    <col min="13" max="13" width="9.85546875" customWidth="1"/>
    <col min="14" max="14" width="11.5703125" bestFit="1" customWidth="1"/>
    <col min="16" max="16" width="9.85546875" customWidth="1"/>
    <col min="19" max="19" width="9.28515625" customWidth="1"/>
    <col min="28" max="29" width="12" bestFit="1" customWidth="1"/>
    <col min="37" max="37" width="16.42578125" customWidth="1"/>
  </cols>
  <sheetData>
    <row r="1" spans="1:38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6" spans="1:38" ht="62.25" customHeight="1">
      <c r="A6" s="28" t="s">
        <v>0</v>
      </c>
      <c r="B6" s="28" t="s">
        <v>1</v>
      </c>
      <c r="C6" s="28" t="s">
        <v>2</v>
      </c>
      <c r="D6" s="28"/>
      <c r="E6" s="28"/>
      <c r="F6" s="28"/>
      <c r="G6" s="28"/>
      <c r="H6" s="28"/>
      <c r="I6" s="28"/>
      <c r="J6" s="28" t="s">
        <v>3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 t="s">
        <v>4</v>
      </c>
      <c r="AB6" s="28"/>
      <c r="AC6" s="28"/>
      <c r="AD6" s="28" t="s">
        <v>5</v>
      </c>
      <c r="AE6" s="28" t="s">
        <v>6</v>
      </c>
      <c r="AF6" s="28"/>
      <c r="AG6" s="28"/>
      <c r="AH6" s="28"/>
      <c r="AI6" s="28"/>
      <c r="AJ6" s="28" t="s">
        <v>7</v>
      </c>
      <c r="AK6" s="28" t="s">
        <v>8</v>
      </c>
      <c r="AL6" s="1"/>
    </row>
    <row r="7" spans="1:38" ht="62.25" customHeight="1">
      <c r="A7" s="28"/>
      <c r="B7" s="28"/>
      <c r="C7" s="28"/>
      <c r="D7" s="28"/>
      <c r="E7" s="28"/>
      <c r="F7" s="28"/>
      <c r="G7" s="28"/>
      <c r="H7" s="28"/>
      <c r="I7" s="28"/>
      <c r="J7" s="28" t="s">
        <v>9</v>
      </c>
      <c r="K7" s="28" t="s">
        <v>10</v>
      </c>
      <c r="L7" s="28" t="s">
        <v>52</v>
      </c>
      <c r="M7" s="28"/>
      <c r="N7" s="28"/>
      <c r="O7" s="28" t="s">
        <v>53</v>
      </c>
      <c r="P7" s="28"/>
      <c r="Q7" s="28"/>
      <c r="R7" s="28" t="s">
        <v>54</v>
      </c>
      <c r="S7" s="28"/>
      <c r="T7" s="28"/>
      <c r="U7" s="28" t="s">
        <v>55</v>
      </c>
      <c r="V7" s="28"/>
      <c r="W7" s="28"/>
      <c r="X7" s="28" t="s">
        <v>56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1"/>
    </row>
    <row r="8" spans="1:38" ht="10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11</v>
      </c>
      <c r="M8" s="28" t="s">
        <v>12</v>
      </c>
      <c r="N8" s="28" t="s">
        <v>13</v>
      </c>
      <c r="O8" s="28" t="s">
        <v>11</v>
      </c>
      <c r="P8" s="28" t="s">
        <v>12</v>
      </c>
      <c r="Q8" s="28" t="s">
        <v>13</v>
      </c>
      <c r="R8" s="28" t="s">
        <v>11</v>
      </c>
      <c r="S8" s="28" t="s">
        <v>12</v>
      </c>
      <c r="T8" s="28" t="s">
        <v>13</v>
      </c>
      <c r="U8" s="28" t="s">
        <v>11</v>
      </c>
      <c r="V8" s="28" t="s">
        <v>12</v>
      </c>
      <c r="W8" s="28" t="s">
        <v>13</v>
      </c>
      <c r="X8" s="28" t="s">
        <v>11</v>
      </c>
      <c r="Y8" s="28" t="s">
        <v>12</v>
      </c>
      <c r="Z8" s="28" t="s">
        <v>13</v>
      </c>
      <c r="AA8" s="28" t="s">
        <v>14</v>
      </c>
      <c r="AB8" s="28" t="s">
        <v>15</v>
      </c>
      <c r="AC8" s="28" t="s">
        <v>16</v>
      </c>
      <c r="AD8" s="28"/>
      <c r="AE8" s="28"/>
      <c r="AF8" s="28"/>
      <c r="AG8" s="28"/>
      <c r="AH8" s="28"/>
      <c r="AI8" s="28"/>
      <c r="AJ8" s="28"/>
      <c r="AK8" s="28"/>
      <c r="AL8" s="1"/>
    </row>
    <row r="9" spans="1:38" ht="47.25">
      <c r="A9" s="28"/>
      <c r="B9" s="28"/>
      <c r="C9" s="10" t="s">
        <v>9</v>
      </c>
      <c r="D9" s="10" t="s">
        <v>17</v>
      </c>
      <c r="E9" s="10" t="s">
        <v>52</v>
      </c>
      <c r="F9" s="10" t="s">
        <v>53</v>
      </c>
      <c r="G9" s="10" t="s">
        <v>54</v>
      </c>
      <c r="H9" s="10" t="s">
        <v>55</v>
      </c>
      <c r="I9" s="10" t="s">
        <v>56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10" t="s">
        <v>52</v>
      </c>
      <c r="AF9" s="10" t="s">
        <v>53</v>
      </c>
      <c r="AG9" s="10" t="s">
        <v>54</v>
      </c>
      <c r="AH9" s="10" t="s">
        <v>55</v>
      </c>
      <c r="AI9" s="10" t="s">
        <v>56</v>
      </c>
      <c r="AJ9" s="28"/>
      <c r="AK9" s="28"/>
      <c r="AL9" s="1"/>
    </row>
    <row r="10" spans="1:38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15</v>
      </c>
      <c r="S10" s="10">
        <v>16</v>
      </c>
      <c r="T10" s="10">
        <v>17</v>
      </c>
      <c r="U10" s="10">
        <v>15</v>
      </c>
      <c r="V10" s="10">
        <v>16</v>
      </c>
      <c r="W10" s="10">
        <v>17</v>
      </c>
      <c r="X10" s="10">
        <v>15</v>
      </c>
      <c r="Y10" s="10">
        <v>16</v>
      </c>
      <c r="Z10" s="10">
        <v>17</v>
      </c>
      <c r="AA10" s="10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10">
        <v>25</v>
      </c>
      <c r="AI10" s="10">
        <v>26</v>
      </c>
      <c r="AJ10" s="10">
        <v>27</v>
      </c>
      <c r="AK10" s="10">
        <v>28</v>
      </c>
      <c r="AL10" s="1"/>
    </row>
    <row r="11" spans="1:38" s="35" customFormat="1" ht="45">
      <c r="A11" s="30">
        <v>1</v>
      </c>
      <c r="B11" s="31" t="s">
        <v>57</v>
      </c>
      <c r="C11" s="32" t="s">
        <v>22</v>
      </c>
      <c r="D11" s="18">
        <f>SUM(E11:I11)</f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 t="s">
        <v>23</v>
      </c>
      <c r="K11" s="18">
        <f>L11+O11+R11+U11+X11</f>
        <v>0</v>
      </c>
      <c r="L11" s="18">
        <v>0</v>
      </c>
      <c r="M11" s="18">
        <f>L11*0.3445</f>
        <v>0</v>
      </c>
      <c r="N11" s="18">
        <f t="shared" ref="N11:N16" si="0">L11*ценапот/1000</f>
        <v>0</v>
      </c>
      <c r="O11" s="18">
        <v>0</v>
      </c>
      <c r="P11" s="18">
        <f>O11*0.3445</f>
        <v>0</v>
      </c>
      <c r="Q11" s="18">
        <f t="shared" ref="Q11:Q16" si="1">O11*ценапот/1000</f>
        <v>0</v>
      </c>
      <c r="R11" s="18">
        <v>0</v>
      </c>
      <c r="S11" s="18">
        <f>R11*0.3445</f>
        <v>0</v>
      </c>
      <c r="T11" s="18">
        <f t="shared" ref="T11:T16" si="2">R11*ценапот/1000</f>
        <v>0</v>
      </c>
      <c r="U11" s="18">
        <v>0</v>
      </c>
      <c r="V11" s="18">
        <f>U11*0.3445</f>
        <v>0</v>
      </c>
      <c r="W11" s="18">
        <f t="shared" ref="W11:W16" si="3">U11*ценапот/1000</f>
        <v>0</v>
      </c>
      <c r="X11" s="18">
        <v>0</v>
      </c>
      <c r="Y11" s="18">
        <f>X11*0.3445</f>
        <v>0</v>
      </c>
      <c r="Z11" s="18">
        <f t="shared" ref="Z11:Z16" si="4">X11*ценапот/1000</f>
        <v>0</v>
      </c>
      <c r="AA11" s="18" t="s">
        <v>60</v>
      </c>
      <c r="AB11" s="33">
        <f>дисконт!G7/100</f>
        <v>-1</v>
      </c>
      <c r="AC11" s="34">
        <f>дисконт!G6/1000</f>
        <v>-0.15</v>
      </c>
      <c r="AD11" s="18" t="s">
        <v>60</v>
      </c>
      <c r="AE11" s="18">
        <v>0</v>
      </c>
      <c r="AF11" s="18">
        <v>0</v>
      </c>
      <c r="AG11" s="18">
        <v>0.15</v>
      </c>
      <c r="AH11" s="18">
        <v>0</v>
      </c>
      <c r="AI11" s="18">
        <v>0</v>
      </c>
      <c r="AJ11" s="18" t="s">
        <v>51</v>
      </c>
      <c r="AK11" s="18" t="s">
        <v>34</v>
      </c>
    </row>
    <row r="12" spans="1:38" s="35" customFormat="1" ht="60" customHeight="1">
      <c r="A12" s="36">
        <v>2</v>
      </c>
      <c r="B12" s="37" t="s">
        <v>59</v>
      </c>
      <c r="C12" s="38" t="s">
        <v>22</v>
      </c>
      <c r="D12" s="39">
        <f t="shared" ref="D12:D19" si="5">SUM(E12:I12)</f>
        <v>20</v>
      </c>
      <c r="E12" s="39">
        <v>4</v>
      </c>
      <c r="F12" s="39">
        <v>4</v>
      </c>
      <c r="G12" s="39">
        <v>4</v>
      </c>
      <c r="H12" s="39">
        <v>4</v>
      </c>
      <c r="I12" s="39">
        <v>4</v>
      </c>
      <c r="J12" s="18" t="s">
        <v>23</v>
      </c>
      <c r="K12" s="18">
        <f>L12+O12+R12+U12+X12</f>
        <v>0</v>
      </c>
      <c r="L12" s="18">
        <v>0</v>
      </c>
      <c r="M12" s="18">
        <f>L12*0.3445</f>
        <v>0</v>
      </c>
      <c r="N12" s="18">
        <f t="shared" si="0"/>
        <v>0</v>
      </c>
      <c r="O12" s="18">
        <v>0</v>
      </c>
      <c r="P12" s="18">
        <f>O12*0.3445</f>
        <v>0</v>
      </c>
      <c r="Q12" s="18">
        <f t="shared" si="1"/>
        <v>0</v>
      </c>
      <c r="R12" s="18">
        <v>0</v>
      </c>
      <c r="S12" s="18">
        <f>R12*0.3445</f>
        <v>0</v>
      </c>
      <c r="T12" s="18">
        <f t="shared" si="2"/>
        <v>0</v>
      </c>
      <c r="U12" s="18">
        <v>0</v>
      </c>
      <c r="V12" s="18">
        <f t="shared" ref="V12:V16" si="6">U12*0.3445</f>
        <v>0</v>
      </c>
      <c r="W12" s="18">
        <f t="shared" si="3"/>
        <v>0</v>
      </c>
      <c r="X12" s="18">
        <v>0</v>
      </c>
      <c r="Y12" s="18">
        <f t="shared" ref="Y12:Y16" si="7">X12*0.3445</f>
        <v>0</v>
      </c>
      <c r="Z12" s="18">
        <f t="shared" si="4"/>
        <v>0</v>
      </c>
      <c r="AA12" s="18" t="s">
        <v>60</v>
      </c>
      <c r="AB12" s="33" t="s">
        <v>60</v>
      </c>
      <c r="AC12" s="34">
        <f>дисконт!G12/1000</f>
        <v>0</v>
      </c>
      <c r="AD12" s="18" t="s">
        <v>60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 t="s">
        <v>51</v>
      </c>
      <c r="AK12" s="18" t="s">
        <v>34</v>
      </c>
    </row>
    <row r="13" spans="1:38" s="35" customFormat="1" ht="30">
      <c r="A13" s="30">
        <v>3</v>
      </c>
      <c r="B13" s="31" t="s">
        <v>61</v>
      </c>
      <c r="C13" s="32" t="s">
        <v>22</v>
      </c>
      <c r="D13" s="18">
        <f t="shared" si="5"/>
        <v>20</v>
      </c>
      <c r="E13" s="18">
        <v>4</v>
      </c>
      <c r="F13" s="18">
        <v>4</v>
      </c>
      <c r="G13" s="18">
        <v>4</v>
      </c>
      <c r="H13" s="18">
        <v>4</v>
      </c>
      <c r="I13" s="18">
        <v>4</v>
      </c>
      <c r="J13" s="18" t="s">
        <v>23</v>
      </c>
      <c r="K13" s="18">
        <f t="shared" ref="K13:K19" si="8">L13+O13+R13+U13+X13</f>
        <v>0</v>
      </c>
      <c r="L13" s="21">
        <v>0</v>
      </c>
      <c r="M13" s="21">
        <f>L13*0.3445</f>
        <v>0</v>
      </c>
      <c r="N13" s="21">
        <f t="shared" si="0"/>
        <v>0</v>
      </c>
      <c r="O13" s="21">
        <v>0</v>
      </c>
      <c r="P13" s="21">
        <f>O13*0.3445</f>
        <v>0</v>
      </c>
      <c r="Q13" s="21">
        <f t="shared" si="1"/>
        <v>0</v>
      </c>
      <c r="R13" s="21">
        <v>0</v>
      </c>
      <c r="S13" s="21">
        <f t="shared" ref="S13:S16" si="9">R13*0.3445</f>
        <v>0</v>
      </c>
      <c r="T13" s="21">
        <f t="shared" si="2"/>
        <v>0</v>
      </c>
      <c r="U13" s="21">
        <v>0</v>
      </c>
      <c r="V13" s="21">
        <f t="shared" si="6"/>
        <v>0</v>
      </c>
      <c r="W13" s="21">
        <f t="shared" si="3"/>
        <v>0</v>
      </c>
      <c r="X13" s="21">
        <v>0</v>
      </c>
      <c r="Y13" s="21">
        <f t="shared" si="7"/>
        <v>0</v>
      </c>
      <c r="Z13" s="21">
        <f t="shared" si="4"/>
        <v>0</v>
      </c>
      <c r="AA13" s="18" t="s">
        <v>60</v>
      </c>
      <c r="AB13" s="33" t="s">
        <v>60</v>
      </c>
      <c r="AC13" s="34">
        <f>дисконт!G18/1000</f>
        <v>0</v>
      </c>
      <c r="AD13" s="18" t="s">
        <v>60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 t="s">
        <v>51</v>
      </c>
      <c r="AK13" s="18" t="s">
        <v>34</v>
      </c>
    </row>
    <row r="14" spans="1:38" s="35" customFormat="1" ht="30">
      <c r="A14" s="36">
        <v>4</v>
      </c>
      <c r="B14" s="31" t="s">
        <v>74</v>
      </c>
      <c r="C14" s="32" t="s">
        <v>22</v>
      </c>
      <c r="D14" s="18">
        <f t="shared" si="5"/>
        <v>15</v>
      </c>
      <c r="E14" s="18">
        <v>7</v>
      </c>
      <c r="F14" s="18">
        <v>2</v>
      </c>
      <c r="G14" s="18">
        <v>2</v>
      </c>
      <c r="H14" s="18">
        <v>2</v>
      </c>
      <c r="I14" s="18">
        <v>2</v>
      </c>
      <c r="J14" s="18" t="s">
        <v>23</v>
      </c>
      <c r="K14" s="18">
        <f t="shared" si="8"/>
        <v>0</v>
      </c>
      <c r="L14" s="21">
        <v>0</v>
      </c>
      <c r="M14" s="21">
        <f t="shared" ref="M14:M16" si="10">L14*0.3445</f>
        <v>0</v>
      </c>
      <c r="N14" s="21">
        <f t="shared" si="0"/>
        <v>0</v>
      </c>
      <c r="O14" s="21">
        <v>0</v>
      </c>
      <c r="P14" s="21">
        <f t="shared" ref="P14:P16" si="11">O14*0.3445</f>
        <v>0</v>
      </c>
      <c r="Q14" s="21">
        <f t="shared" si="1"/>
        <v>0</v>
      </c>
      <c r="R14" s="21">
        <v>0</v>
      </c>
      <c r="S14" s="21">
        <f t="shared" si="9"/>
        <v>0</v>
      </c>
      <c r="T14" s="21">
        <f t="shared" si="2"/>
        <v>0</v>
      </c>
      <c r="U14" s="21">
        <v>0</v>
      </c>
      <c r="V14" s="21">
        <f t="shared" si="6"/>
        <v>0</v>
      </c>
      <c r="W14" s="21">
        <f t="shared" si="3"/>
        <v>0</v>
      </c>
      <c r="X14" s="21">
        <v>0</v>
      </c>
      <c r="Y14" s="21">
        <f t="shared" si="7"/>
        <v>0</v>
      </c>
      <c r="Z14" s="21">
        <f t="shared" si="4"/>
        <v>0</v>
      </c>
      <c r="AA14" s="18" t="s">
        <v>60</v>
      </c>
      <c r="AB14" s="33">
        <f>дисконт!G25/100</f>
        <v>-1</v>
      </c>
      <c r="AC14" s="34">
        <f>дисконт!G24/1000</f>
        <v>-0.9</v>
      </c>
      <c r="AD14" s="18">
        <v>12</v>
      </c>
      <c r="AE14" s="18">
        <v>0.42</v>
      </c>
      <c r="AF14" s="18">
        <v>0.12</v>
      </c>
      <c r="AG14" s="18">
        <v>0.12</v>
      </c>
      <c r="AH14" s="18">
        <v>0.12</v>
      </c>
      <c r="AI14" s="18">
        <v>0.12</v>
      </c>
      <c r="AJ14" s="18" t="s">
        <v>51</v>
      </c>
      <c r="AK14" s="18" t="s">
        <v>34</v>
      </c>
    </row>
    <row r="15" spans="1:38" s="35" customFormat="1" ht="45">
      <c r="A15" s="30">
        <v>5</v>
      </c>
      <c r="B15" s="31" t="s">
        <v>75</v>
      </c>
      <c r="C15" s="32" t="s">
        <v>22</v>
      </c>
      <c r="D15" s="18">
        <f t="shared" si="5"/>
        <v>10</v>
      </c>
      <c r="E15" s="18">
        <v>2</v>
      </c>
      <c r="F15" s="18">
        <v>2</v>
      </c>
      <c r="G15" s="18">
        <v>2</v>
      </c>
      <c r="H15" s="18">
        <v>2</v>
      </c>
      <c r="I15" s="18">
        <v>2</v>
      </c>
      <c r="J15" s="18" t="s">
        <v>23</v>
      </c>
      <c r="K15" s="18">
        <f t="shared" si="8"/>
        <v>0</v>
      </c>
      <c r="L15" s="40">
        <v>0</v>
      </c>
      <c r="M15" s="18">
        <f t="shared" si="10"/>
        <v>0</v>
      </c>
      <c r="N15" s="18">
        <f t="shared" si="0"/>
        <v>0</v>
      </c>
      <c r="O15" s="40">
        <f>L15+L15</f>
        <v>0</v>
      </c>
      <c r="P15" s="18">
        <f t="shared" si="11"/>
        <v>0</v>
      </c>
      <c r="Q15" s="18">
        <f t="shared" si="1"/>
        <v>0</v>
      </c>
      <c r="R15" s="40">
        <f>O15+L15</f>
        <v>0</v>
      </c>
      <c r="S15" s="18">
        <f t="shared" si="9"/>
        <v>0</v>
      </c>
      <c r="T15" s="18">
        <f t="shared" si="2"/>
        <v>0</v>
      </c>
      <c r="U15" s="40">
        <f>R15+L15</f>
        <v>0</v>
      </c>
      <c r="V15" s="18">
        <f t="shared" si="6"/>
        <v>0</v>
      </c>
      <c r="W15" s="18">
        <f t="shared" si="3"/>
        <v>0</v>
      </c>
      <c r="X15" s="40">
        <f>U15+L15</f>
        <v>0</v>
      </c>
      <c r="Y15" s="18">
        <f t="shared" si="7"/>
        <v>0</v>
      </c>
      <c r="Z15" s="18">
        <f t="shared" si="4"/>
        <v>0</v>
      </c>
      <c r="AA15" s="21" t="s">
        <v>60</v>
      </c>
      <c r="AB15" s="33">
        <f>дисконт!G31/100</f>
        <v>-1</v>
      </c>
      <c r="AC15" s="34">
        <f>дисконт!G30/1000</f>
        <v>-3</v>
      </c>
      <c r="AD15" s="18">
        <v>30</v>
      </c>
      <c r="AE15" s="18">
        <v>0.6</v>
      </c>
      <c r="AF15" s="18">
        <v>0.6</v>
      </c>
      <c r="AG15" s="18">
        <v>0.6</v>
      </c>
      <c r="AH15" s="18">
        <v>0.6</v>
      </c>
      <c r="AI15" s="18">
        <v>0.6</v>
      </c>
      <c r="AJ15" s="18" t="s">
        <v>51</v>
      </c>
      <c r="AK15" s="18" t="s">
        <v>34</v>
      </c>
    </row>
    <row r="16" spans="1:38" s="35" customFormat="1" ht="90">
      <c r="A16" s="36">
        <v>6</v>
      </c>
      <c r="B16" s="31" t="s">
        <v>73</v>
      </c>
      <c r="C16" s="32" t="s">
        <v>22</v>
      </c>
      <c r="D16" s="18">
        <f t="shared" si="5"/>
        <v>1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 t="s">
        <v>58</v>
      </c>
      <c r="K16" s="18">
        <f t="shared" si="8"/>
        <v>25</v>
      </c>
      <c r="L16" s="40">
        <v>5</v>
      </c>
      <c r="M16" s="18">
        <f t="shared" si="10"/>
        <v>1.7224999999999999</v>
      </c>
      <c r="N16" s="18">
        <f t="shared" si="0"/>
        <v>1.1950000000000001E-2</v>
      </c>
      <c r="O16" s="40">
        <v>5</v>
      </c>
      <c r="P16" s="18">
        <f t="shared" si="11"/>
        <v>1.7224999999999999</v>
      </c>
      <c r="Q16" s="18">
        <f t="shared" si="1"/>
        <v>1.1950000000000001E-2</v>
      </c>
      <c r="R16" s="40">
        <v>5</v>
      </c>
      <c r="S16" s="18">
        <f t="shared" si="9"/>
        <v>1.7224999999999999</v>
      </c>
      <c r="T16" s="18">
        <f t="shared" si="2"/>
        <v>1.1950000000000001E-2</v>
      </c>
      <c r="U16" s="40">
        <v>5</v>
      </c>
      <c r="V16" s="18">
        <f t="shared" si="6"/>
        <v>1.7224999999999999</v>
      </c>
      <c r="W16" s="18">
        <f t="shared" si="3"/>
        <v>1.1950000000000001E-2</v>
      </c>
      <c r="X16" s="40">
        <v>5</v>
      </c>
      <c r="Y16" s="18">
        <f t="shared" si="7"/>
        <v>1.7224999999999999</v>
      </c>
      <c r="Z16" s="18">
        <f t="shared" si="4"/>
        <v>1.1950000000000001E-2</v>
      </c>
      <c r="AA16" s="18" t="s">
        <v>60</v>
      </c>
      <c r="AB16" s="33" t="s">
        <v>60</v>
      </c>
      <c r="AC16" s="34">
        <f>дисконт!G36/1000</f>
        <v>5.7199212249575609E-2</v>
      </c>
      <c r="AD16" s="18" t="s">
        <v>60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 t="s">
        <v>51</v>
      </c>
      <c r="AK16" s="18" t="s">
        <v>34</v>
      </c>
    </row>
    <row r="17" spans="1:37" s="35" customFormat="1" ht="60">
      <c r="A17" s="30">
        <v>7</v>
      </c>
      <c r="B17" s="31" t="s">
        <v>63</v>
      </c>
      <c r="C17" s="32" t="s">
        <v>22</v>
      </c>
      <c r="D17" s="18">
        <f t="shared" si="5"/>
        <v>1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 t="s">
        <v>23</v>
      </c>
      <c r="K17" s="18">
        <f t="shared" si="8"/>
        <v>15</v>
      </c>
      <c r="L17" s="40">
        <v>3</v>
      </c>
      <c r="M17" s="18">
        <f t="shared" ref="M17:M19" si="12">L17*0.3445</f>
        <v>1.0334999999999999</v>
      </c>
      <c r="N17" s="18">
        <f t="shared" ref="N17:N19" si="13">L17*ценапот/1000</f>
        <v>7.1700000000000002E-3</v>
      </c>
      <c r="O17" s="40">
        <v>3</v>
      </c>
      <c r="P17" s="18">
        <f t="shared" ref="P17:P19" si="14">O17*0.3445</f>
        <v>1.0334999999999999</v>
      </c>
      <c r="Q17" s="18">
        <f t="shared" ref="Q17:Q19" si="15">O17*ценапот/1000</f>
        <v>7.1700000000000002E-3</v>
      </c>
      <c r="R17" s="40">
        <v>3</v>
      </c>
      <c r="S17" s="18">
        <f t="shared" ref="S17:S19" si="16">R17*0.3445</f>
        <v>1.0334999999999999</v>
      </c>
      <c r="T17" s="18">
        <f t="shared" ref="T17:T19" si="17">R17*ценапот/1000</f>
        <v>7.1700000000000002E-3</v>
      </c>
      <c r="U17" s="40">
        <v>3</v>
      </c>
      <c r="V17" s="18">
        <f t="shared" ref="V17:V19" si="18">U17*0.3445</f>
        <v>1.0334999999999999</v>
      </c>
      <c r="W17" s="18">
        <f t="shared" ref="W17:W19" si="19">U17*ценапот/1000</f>
        <v>7.1700000000000002E-3</v>
      </c>
      <c r="X17" s="40">
        <v>3</v>
      </c>
      <c r="Y17" s="18">
        <f t="shared" ref="Y17:Y19" si="20">X17*0.3445</f>
        <v>1.0334999999999999</v>
      </c>
      <c r="Z17" s="18">
        <f t="shared" ref="Z17:Z19" si="21">X17*ценапот/1000</f>
        <v>7.1700000000000002E-3</v>
      </c>
      <c r="AA17" s="18" t="s">
        <v>60</v>
      </c>
      <c r="AB17" s="33" t="s">
        <v>60</v>
      </c>
      <c r="AC17" s="34">
        <f>дисконт!G60/1000</f>
        <v>3.431952734974536E-2</v>
      </c>
      <c r="AD17" s="18" t="s">
        <v>60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 t="s">
        <v>51</v>
      </c>
      <c r="AK17" s="18" t="s">
        <v>34</v>
      </c>
    </row>
    <row r="18" spans="1:37" s="35" customFormat="1" ht="45">
      <c r="A18" s="36">
        <v>8</v>
      </c>
      <c r="B18" s="31" t="s">
        <v>64</v>
      </c>
      <c r="C18" s="32" t="s">
        <v>22</v>
      </c>
      <c r="D18" s="18">
        <f t="shared" si="5"/>
        <v>45</v>
      </c>
      <c r="E18" s="18">
        <v>10</v>
      </c>
      <c r="F18" s="18">
        <v>10</v>
      </c>
      <c r="G18" s="18">
        <v>10</v>
      </c>
      <c r="H18" s="18">
        <v>10</v>
      </c>
      <c r="I18" s="18">
        <v>5</v>
      </c>
      <c r="J18" s="18" t="s">
        <v>23</v>
      </c>
      <c r="K18" s="18">
        <f t="shared" si="8"/>
        <v>255</v>
      </c>
      <c r="L18" s="40">
        <v>17</v>
      </c>
      <c r="M18" s="18">
        <f t="shared" si="12"/>
        <v>5.8564999999999996</v>
      </c>
      <c r="N18" s="18">
        <f t="shared" si="13"/>
        <v>4.0629999999999999E-2</v>
      </c>
      <c r="O18" s="40">
        <f>L18+L18</f>
        <v>34</v>
      </c>
      <c r="P18" s="18">
        <f t="shared" si="14"/>
        <v>11.712999999999999</v>
      </c>
      <c r="Q18" s="18">
        <f t="shared" si="15"/>
        <v>8.1259999999999999E-2</v>
      </c>
      <c r="R18" s="40">
        <f>L18+O18</f>
        <v>51</v>
      </c>
      <c r="S18" s="18">
        <f t="shared" si="16"/>
        <v>17.569499999999998</v>
      </c>
      <c r="T18" s="18">
        <f t="shared" si="17"/>
        <v>0.12189</v>
      </c>
      <c r="U18" s="40">
        <f>R18+L18</f>
        <v>68</v>
      </c>
      <c r="V18" s="18">
        <f t="shared" si="18"/>
        <v>23.425999999999998</v>
      </c>
      <c r="W18" s="18">
        <f t="shared" si="19"/>
        <v>0.16252</v>
      </c>
      <c r="X18" s="40">
        <f>L18+U18</f>
        <v>85</v>
      </c>
      <c r="Y18" s="18">
        <f t="shared" si="20"/>
        <v>29.282499999999999</v>
      </c>
      <c r="Z18" s="18">
        <f t="shared" si="21"/>
        <v>0.20315</v>
      </c>
      <c r="AA18" s="21">
        <f>дисконт!J71</f>
        <v>2.1405863713743507</v>
      </c>
      <c r="AB18" s="33">
        <f>дисконт!G73/100</f>
        <v>1.335808574166423</v>
      </c>
      <c r="AC18" s="34">
        <f>дисконт!G72/1000</f>
        <v>0.33395214354160579</v>
      </c>
      <c r="AD18" s="18">
        <v>12</v>
      </c>
      <c r="AE18" s="18">
        <v>0.05</v>
      </c>
      <c r="AF18" s="18">
        <v>0.05</v>
      </c>
      <c r="AG18" s="18">
        <v>0.05</v>
      </c>
      <c r="AH18" s="18">
        <v>0.05</v>
      </c>
      <c r="AI18" s="18">
        <v>0.05</v>
      </c>
      <c r="AJ18" s="18" t="s">
        <v>51</v>
      </c>
      <c r="AK18" s="18" t="s">
        <v>34</v>
      </c>
    </row>
    <row r="19" spans="1:37" s="35" customFormat="1" ht="60">
      <c r="A19" s="30">
        <v>9</v>
      </c>
      <c r="B19" s="31" t="s">
        <v>65</v>
      </c>
      <c r="C19" s="32" t="s">
        <v>22</v>
      </c>
      <c r="D19" s="18">
        <f t="shared" si="5"/>
        <v>3</v>
      </c>
      <c r="E19" s="18">
        <v>1</v>
      </c>
      <c r="F19" s="18">
        <v>1</v>
      </c>
      <c r="G19" s="18">
        <v>1</v>
      </c>
      <c r="H19" s="18">
        <v>0</v>
      </c>
      <c r="I19" s="18">
        <v>0</v>
      </c>
      <c r="J19" s="18" t="s">
        <v>23</v>
      </c>
      <c r="K19" s="18">
        <f t="shared" si="8"/>
        <v>30</v>
      </c>
      <c r="L19" s="40">
        <v>2.5</v>
      </c>
      <c r="M19" s="18">
        <f t="shared" si="12"/>
        <v>0.86124999999999996</v>
      </c>
      <c r="N19" s="18">
        <f t="shared" si="13"/>
        <v>5.9750000000000003E-3</v>
      </c>
      <c r="O19" s="40">
        <v>5</v>
      </c>
      <c r="P19" s="18">
        <f t="shared" si="14"/>
        <v>1.7224999999999999</v>
      </c>
      <c r="Q19" s="18">
        <f t="shared" si="15"/>
        <v>1.1950000000000001E-2</v>
      </c>
      <c r="R19" s="40">
        <v>7.5</v>
      </c>
      <c r="S19" s="18">
        <f t="shared" si="16"/>
        <v>2.5837499999999998</v>
      </c>
      <c r="T19" s="18">
        <f t="shared" si="17"/>
        <v>1.7925E-2</v>
      </c>
      <c r="U19" s="40">
        <v>7.5</v>
      </c>
      <c r="V19" s="18">
        <f t="shared" si="18"/>
        <v>2.5837499999999998</v>
      </c>
      <c r="W19" s="18">
        <f t="shared" si="19"/>
        <v>1.7925E-2</v>
      </c>
      <c r="X19" s="40">
        <v>7.5</v>
      </c>
      <c r="Y19" s="18">
        <f t="shared" si="20"/>
        <v>2.5837499999999998</v>
      </c>
      <c r="Z19" s="18">
        <f t="shared" si="21"/>
        <v>1.7925E-2</v>
      </c>
      <c r="AA19" s="21">
        <f>дисконт!J77</f>
        <v>4.3674916161956832</v>
      </c>
      <c r="AB19" s="33">
        <f>дисконт!G79/100</f>
        <v>0.14482188848601973</v>
      </c>
      <c r="AC19" s="34">
        <f>дисконт!G78/1000</f>
        <v>8.6893133091611782E-3</v>
      </c>
      <c r="AD19" s="18">
        <v>12</v>
      </c>
      <c r="AE19" s="18">
        <v>5.0000000000000001E-3</v>
      </c>
      <c r="AF19" s="18">
        <v>5.0000000000000001E-3</v>
      </c>
      <c r="AG19" s="18">
        <v>0.05</v>
      </c>
      <c r="AH19" s="18">
        <v>0</v>
      </c>
      <c r="AI19" s="18">
        <v>0</v>
      </c>
      <c r="AJ19" s="18" t="s">
        <v>51</v>
      </c>
      <c r="AK19" s="18" t="s">
        <v>34</v>
      </c>
    </row>
    <row r="20" spans="1:37" s="9" customFormat="1">
      <c r="A20" s="24" t="s">
        <v>17</v>
      </c>
      <c r="B20" s="11"/>
      <c r="C20" s="11"/>
      <c r="D20" s="11"/>
      <c r="E20" s="11"/>
      <c r="F20" s="11"/>
      <c r="G20" s="11"/>
      <c r="H20" s="11"/>
      <c r="I20" s="11"/>
      <c r="J20" s="11" t="s">
        <v>23</v>
      </c>
      <c r="K20" s="13">
        <f>SUM(K11:K19)</f>
        <v>325</v>
      </c>
      <c r="L20" s="13">
        <f>SUM(L11:L19)</f>
        <v>27.5</v>
      </c>
      <c r="M20" s="13">
        <f>SUM(M11:M19)</f>
        <v>9.473749999999999</v>
      </c>
      <c r="N20" s="13">
        <f>SUM(N11:N19)</f>
        <v>6.5724999999999992E-2</v>
      </c>
      <c r="O20" s="13">
        <f>SUM(O11:O19)</f>
        <v>47</v>
      </c>
      <c r="P20" s="13">
        <f>SUM(P11:P19)</f>
        <v>16.191499999999998</v>
      </c>
      <c r="Q20" s="13">
        <f>SUM(Q11:Q19)</f>
        <v>0.11233</v>
      </c>
      <c r="R20" s="13">
        <f>SUM(R11:R19)</f>
        <v>66.5</v>
      </c>
      <c r="S20" s="13">
        <f>SUM(S11:S19)</f>
        <v>22.909249999999997</v>
      </c>
      <c r="T20" s="13">
        <f>SUM(T11:T19)</f>
        <v>0.15893499999999999</v>
      </c>
      <c r="U20" s="13">
        <f>SUM(U11:U19)</f>
        <v>83.5</v>
      </c>
      <c r="V20" s="13">
        <f>SUM(V11:V19)</f>
        <v>28.765749999999997</v>
      </c>
      <c r="W20" s="13">
        <f>SUM(W11:W19)</f>
        <v>0.19956499999999999</v>
      </c>
      <c r="X20" s="13">
        <f>SUM(X11:X19)</f>
        <v>100.5</v>
      </c>
      <c r="Y20" s="13">
        <f>SUM(Y11:Y19)</f>
        <v>34.622250000000001</v>
      </c>
      <c r="Z20" s="13">
        <f>SUM(Z11:Z19)</f>
        <v>0.24019499999999999</v>
      </c>
      <c r="AA20" s="11"/>
      <c r="AB20" s="11"/>
      <c r="AC20" s="25"/>
      <c r="AD20" s="11"/>
      <c r="AE20" s="26">
        <f>SUM(AE11:AE19)</f>
        <v>1.075</v>
      </c>
      <c r="AF20" s="26">
        <f>SUM(AF11:AF19)</f>
        <v>0.77500000000000002</v>
      </c>
      <c r="AG20" s="26">
        <f>SUM(AG11:AG19)</f>
        <v>0.97000000000000008</v>
      </c>
      <c r="AH20" s="26">
        <f>SUM(AH11:AH19)</f>
        <v>0.77</v>
      </c>
      <c r="AI20" s="26">
        <f>SUM(AI11:AI19)</f>
        <v>0.77</v>
      </c>
      <c r="AJ20" s="11"/>
      <c r="AK20" s="11"/>
    </row>
    <row r="23" spans="1:37">
      <c r="AE23" s="23"/>
    </row>
  </sheetData>
  <mergeCells count="38">
    <mergeCell ref="AD6:AD9"/>
    <mergeCell ref="O8:O9"/>
    <mergeCell ref="P8:P9"/>
    <mergeCell ref="Q8:Q9"/>
    <mergeCell ref="AA8:AA9"/>
    <mergeCell ref="R7:T7"/>
    <mergeCell ref="R8:R9"/>
    <mergeCell ref="S8:S9"/>
    <mergeCell ref="T8:T9"/>
    <mergeCell ref="U7:W7"/>
    <mergeCell ref="X7:Z7"/>
    <mergeCell ref="U8:U9"/>
    <mergeCell ref="V8:V9"/>
    <mergeCell ref="W8:W9"/>
    <mergeCell ref="X8:X9"/>
    <mergeCell ref="Y8:Y9"/>
    <mergeCell ref="C6:I8"/>
    <mergeCell ref="AA6:AC7"/>
    <mergeCell ref="Z8:Z9"/>
    <mergeCell ref="J6:Z6"/>
    <mergeCell ref="AB8:AB9"/>
    <mergeCell ref="AC8:AC9"/>
    <mergeCell ref="A1:AL1"/>
    <mergeCell ref="A2:AL2"/>
    <mergeCell ref="A3:AL3"/>
    <mergeCell ref="A4:AL4"/>
    <mergeCell ref="AE6:AI8"/>
    <mergeCell ref="AJ6:AJ9"/>
    <mergeCell ref="AK6:AK9"/>
    <mergeCell ref="J7:J9"/>
    <mergeCell ref="K7:K9"/>
    <mergeCell ref="L7:N7"/>
    <mergeCell ref="O7:Q7"/>
    <mergeCell ref="L8:L9"/>
    <mergeCell ref="M8:M9"/>
    <mergeCell ref="N8:N9"/>
    <mergeCell ref="A6:A9"/>
    <mergeCell ref="B6:B9"/>
  </mergeCells>
  <pageMargins left="0.25" right="0.25" top="0.75" bottom="0.75" header="0.3" footer="0.3"/>
  <pageSetup paperSize="8" scale="34" orientation="landscape" r:id="rId1"/>
  <colBreaks count="1" manualBreakCount="1">
    <brk id="3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workbookViewId="0">
      <selection activeCell="H17" sqref="H17"/>
    </sheetView>
  </sheetViews>
  <sheetFormatPr defaultRowHeight="15"/>
  <cols>
    <col min="1" max="1" width="14.28515625" customWidth="1"/>
    <col min="3" max="3" width="9.5703125" bestFit="1" customWidth="1"/>
  </cols>
  <sheetData>
    <row r="1" spans="1:15">
      <c r="A1" s="4"/>
      <c r="B1" s="2"/>
      <c r="C1" s="2"/>
      <c r="D1" s="2"/>
      <c r="E1" s="2"/>
      <c r="F1" s="2"/>
      <c r="G1" s="2"/>
      <c r="H1" s="2"/>
    </row>
    <row r="2" spans="1:15">
      <c r="A2" s="4"/>
      <c r="B2" s="2"/>
      <c r="C2" s="2"/>
      <c r="D2" s="2"/>
      <c r="E2" s="2"/>
      <c r="F2" s="2"/>
      <c r="G2" s="2"/>
      <c r="H2" s="2"/>
    </row>
    <row r="3" spans="1:15">
      <c r="A3" s="5"/>
      <c r="B3" s="2"/>
      <c r="C3" s="2"/>
      <c r="D3" s="3"/>
      <c r="E3" s="2"/>
      <c r="F3" s="2"/>
      <c r="G3" s="2"/>
      <c r="H3" s="2"/>
    </row>
    <row r="8" spans="1:15" ht="15.75">
      <c r="A8" s="2" t="s">
        <v>24</v>
      </c>
      <c r="B8" s="2"/>
      <c r="C8" s="7"/>
      <c r="D8" s="2"/>
      <c r="E8" s="2"/>
      <c r="F8" s="2"/>
      <c r="G8" s="2"/>
      <c r="H8" s="2"/>
    </row>
    <row r="9" spans="1:15">
      <c r="A9" s="2" t="s">
        <v>25</v>
      </c>
      <c r="B9" s="2"/>
      <c r="C9" s="8"/>
      <c r="D9" s="8"/>
      <c r="E9" s="8"/>
      <c r="F9" s="8"/>
      <c r="G9" s="8"/>
      <c r="H9" s="8"/>
      <c r="I9" s="6"/>
    </row>
    <row r="10" spans="1:15" ht="15.75" thickBot="1"/>
    <row r="11" spans="1:15" ht="15.75">
      <c r="A11" t="s">
        <v>32</v>
      </c>
      <c r="C11" s="17">
        <f>C24</f>
        <v>272.35899999999998</v>
      </c>
      <c r="D11">
        <f>D24</f>
        <v>290.399</v>
      </c>
      <c r="E11">
        <f t="shared" ref="E11:H11" si="0">E24</f>
        <v>292.5</v>
      </c>
      <c r="F11">
        <f t="shared" si="0"/>
        <v>293.8</v>
      </c>
      <c r="G11">
        <f t="shared" si="0"/>
        <v>295.10000000000002</v>
      </c>
      <c r="H11">
        <f t="shared" si="0"/>
        <v>295.5</v>
      </c>
    </row>
    <row r="12" spans="1:15">
      <c r="A12" t="s">
        <v>33</v>
      </c>
      <c r="C12">
        <f>C11*0.3445</f>
        <v>93.827675499999984</v>
      </c>
      <c r="D12">
        <f t="shared" ref="D12:H12" si="1">D11*0.3445</f>
        <v>100.04245549999999</v>
      </c>
      <c r="E12">
        <f t="shared" si="1"/>
        <v>100.76624999999999</v>
      </c>
      <c r="F12">
        <f t="shared" si="1"/>
        <v>101.2141</v>
      </c>
      <c r="G12">
        <f t="shared" si="1"/>
        <v>101.66195</v>
      </c>
      <c r="H12">
        <f t="shared" si="1"/>
        <v>101.79974999999999</v>
      </c>
    </row>
    <row r="15" spans="1:15">
      <c r="A15" s="14" t="s">
        <v>35</v>
      </c>
      <c r="M15" t="s">
        <v>45</v>
      </c>
      <c r="O15" s="29" t="s">
        <v>48</v>
      </c>
    </row>
    <row r="16" spans="1:15">
      <c r="A16" t="s">
        <v>44</v>
      </c>
      <c r="B16" s="15">
        <v>1.6615</v>
      </c>
      <c r="D16">
        <f>D11/100*B16</f>
        <v>4.8249793849999998</v>
      </c>
      <c r="E16">
        <f>E11/100*B16</f>
        <v>4.8598874999999992</v>
      </c>
      <c r="F16">
        <f>F11/100*B16</f>
        <v>4.8814869999999999</v>
      </c>
      <c r="G16">
        <f>G11/100*B16</f>
        <v>4.9030864999999997</v>
      </c>
      <c r="H16">
        <f>H11/100*B16</f>
        <v>4.9097324999999996</v>
      </c>
      <c r="M16">
        <f>SUM(D16:H16)</f>
        <v>24.379172884999999</v>
      </c>
      <c r="O16" s="29"/>
    </row>
    <row r="17" spans="1:20">
      <c r="A17" t="s">
        <v>33</v>
      </c>
      <c r="D17">
        <f>D16*0.3445</f>
        <v>1.6622053981324998</v>
      </c>
      <c r="E17">
        <f t="shared" ref="E17:H17" si="2">E16*0.3445</f>
        <v>1.6742312437499995</v>
      </c>
      <c r="F17">
        <f t="shared" si="2"/>
        <v>1.6816722714999999</v>
      </c>
      <c r="G17">
        <f t="shared" si="2"/>
        <v>1.6891132992499998</v>
      </c>
      <c r="H17">
        <f t="shared" si="2"/>
        <v>1.6914028462499997</v>
      </c>
      <c r="M17">
        <f t="shared" ref="M17:M18" si="3">SUM(D17:H17)</f>
        <v>8.398625058882498</v>
      </c>
      <c r="O17" s="29"/>
    </row>
    <row r="18" spans="1:20">
      <c r="A18" t="s">
        <v>62</v>
      </c>
      <c r="B18" s="15">
        <v>2.39</v>
      </c>
      <c r="D18">
        <f>D16*B18</f>
        <v>11.53170073015</v>
      </c>
      <c r="E18">
        <f>E16*B18</f>
        <v>11.615131125</v>
      </c>
      <c r="F18">
        <f>F16*B18</f>
        <v>11.66675393</v>
      </c>
      <c r="G18">
        <f>G16*B18</f>
        <v>11.718376735</v>
      </c>
      <c r="H18">
        <f>H16*B18</f>
        <v>11.734260675</v>
      </c>
      <c r="M18">
        <f t="shared" si="3"/>
        <v>58.266223195149998</v>
      </c>
      <c r="O18" s="29"/>
    </row>
    <row r="23" spans="1:20">
      <c r="C23">
        <v>2019</v>
      </c>
      <c r="D23">
        <v>2020</v>
      </c>
      <c r="E23">
        <v>2021</v>
      </c>
      <c r="F23">
        <v>2022</v>
      </c>
      <c r="G23">
        <v>2023</v>
      </c>
      <c r="H23">
        <v>2024</v>
      </c>
      <c r="O23" s="29" t="s">
        <v>49</v>
      </c>
    </row>
    <row r="24" spans="1:20" ht="15.75">
      <c r="A24" t="s">
        <v>37</v>
      </c>
      <c r="C24" s="16">
        <v>272.35899999999998</v>
      </c>
      <c r="D24" s="3">
        <v>290.399</v>
      </c>
      <c r="E24" s="3">
        <v>292.5</v>
      </c>
      <c r="F24" s="3">
        <v>293.8</v>
      </c>
      <c r="G24" s="3">
        <v>295.10000000000002</v>
      </c>
      <c r="H24" s="3">
        <v>295.5</v>
      </c>
      <c r="O24" s="29"/>
    </row>
    <row r="25" spans="1:20">
      <c r="A25" t="s">
        <v>38</v>
      </c>
      <c r="C25">
        <f>C24-C26</f>
        <v>270</v>
      </c>
      <c r="D25">
        <f t="shared" ref="D25:H25" si="4">D24-D26</f>
        <v>288.0675</v>
      </c>
      <c r="E25">
        <f t="shared" si="4"/>
        <v>290.18799999999999</v>
      </c>
      <c r="F25">
        <f t="shared" si="4"/>
        <v>291.50749999999999</v>
      </c>
      <c r="G25">
        <f t="shared" si="4"/>
        <v>292.8245</v>
      </c>
      <c r="H25">
        <f t="shared" si="4"/>
        <v>293.24149999999997</v>
      </c>
      <c r="O25" s="29"/>
    </row>
    <row r="26" spans="1:20">
      <c r="A26" t="s">
        <v>39</v>
      </c>
      <c r="C26" s="3">
        <v>2.359</v>
      </c>
      <c r="D26" s="22">
        <f>C26-Лист1!L20/1000</f>
        <v>2.3315000000000001</v>
      </c>
      <c r="E26" s="3">
        <f>C26-Лист1!O20/1000</f>
        <v>2.3119999999999998</v>
      </c>
      <c r="F26" s="3">
        <f>C26-Лист1!R20/1000</f>
        <v>2.2925</v>
      </c>
      <c r="G26" s="3">
        <f>C26-Лист1!U20/1000</f>
        <v>2.2755000000000001</v>
      </c>
      <c r="H26" s="3">
        <f>C26-Лист1!X20/1000</f>
        <v>2.2585000000000002</v>
      </c>
      <c r="M26">
        <f t="shared" ref="M26" si="5">SUM(D26:H26)</f>
        <v>11.47</v>
      </c>
      <c r="O26" s="29"/>
    </row>
    <row r="27" spans="1:20">
      <c r="A27" t="s">
        <v>40</v>
      </c>
      <c r="D27">
        <f>C26-D26</f>
        <v>2.7499999999999858E-2</v>
      </c>
      <c r="E27">
        <f t="shared" ref="E27:H27" si="6">D26-E26</f>
        <v>1.9500000000000295E-2</v>
      </c>
      <c r="F27">
        <f t="shared" si="6"/>
        <v>1.9499999999999851E-2</v>
      </c>
      <c r="G27">
        <f t="shared" si="6"/>
        <v>1.6999999999999904E-2</v>
      </c>
      <c r="H27">
        <f t="shared" si="6"/>
        <v>1.6999999999999904E-2</v>
      </c>
      <c r="J27" t="s">
        <v>50</v>
      </c>
      <c r="M27">
        <f>M26-M16</f>
        <v>-12.909172884999998</v>
      </c>
    </row>
    <row r="28" spans="1:20">
      <c r="J28" t="s">
        <v>46</v>
      </c>
      <c r="M28">
        <f>M26*B18</f>
        <v>27.413300000000003</v>
      </c>
    </row>
    <row r="29" spans="1:20">
      <c r="A29" t="s">
        <v>41</v>
      </c>
      <c r="C29">
        <f>C12</f>
        <v>93.827675499999984</v>
      </c>
      <c r="D29">
        <f t="shared" ref="D29:H29" si="7">D12</f>
        <v>100.04245549999999</v>
      </c>
      <c r="E29">
        <f t="shared" si="7"/>
        <v>100.76624999999999</v>
      </c>
      <c r="F29">
        <f t="shared" si="7"/>
        <v>101.2141</v>
      </c>
      <c r="G29">
        <f t="shared" si="7"/>
        <v>101.66195</v>
      </c>
      <c r="H29">
        <f t="shared" si="7"/>
        <v>101.79974999999999</v>
      </c>
      <c r="J29" t="s">
        <v>47</v>
      </c>
      <c r="M29">
        <f>M28-M18</f>
        <v>-30.852923195149994</v>
      </c>
      <c r="R29">
        <f>C26*ценапот</f>
        <v>5.6380100000000004</v>
      </c>
      <c r="S29">
        <f>D26*ценапот</f>
        <v>5.5722850000000008</v>
      </c>
      <c r="T29">
        <f>E26*ценапот</f>
        <v>5.5256799999999995</v>
      </c>
    </row>
    <row r="30" spans="1:20">
      <c r="A30" t="s">
        <v>42</v>
      </c>
      <c r="D30">
        <f>D27*0.3445</f>
        <v>9.473749999999951E-3</v>
      </c>
      <c r="E30">
        <f t="shared" ref="E30:H30" si="8">E27*0.3445</f>
        <v>6.7177500000001012E-3</v>
      </c>
      <c r="F30">
        <f t="shared" si="8"/>
        <v>6.7177499999999477E-3</v>
      </c>
      <c r="G30">
        <f t="shared" si="8"/>
        <v>5.8564999999999668E-3</v>
      </c>
      <c r="H30">
        <f t="shared" si="8"/>
        <v>5.8564999999999668E-3</v>
      </c>
    </row>
    <row r="36" spans="1:8">
      <c r="A36" t="s">
        <v>43</v>
      </c>
      <c r="C36">
        <f>C26/C24*100</f>
        <v>0.86613623930180383</v>
      </c>
      <c r="D36">
        <f t="shared" ref="D36:H36" si="9">D26/D24*100</f>
        <v>0.80286089139425409</v>
      </c>
      <c r="E36">
        <f t="shared" si="9"/>
        <v>0.79042735042735035</v>
      </c>
      <c r="F36">
        <f t="shared" si="9"/>
        <v>0.7802927161334241</v>
      </c>
      <c r="G36">
        <f t="shared" si="9"/>
        <v>0.77109454422229751</v>
      </c>
      <c r="H36">
        <f t="shared" si="9"/>
        <v>0.76429780033840955</v>
      </c>
    </row>
    <row r="38" spans="1:8">
      <c r="A38" t="s">
        <v>67</v>
      </c>
    </row>
    <row r="39" spans="1:8">
      <c r="A39" t="s">
        <v>68</v>
      </c>
      <c r="C39">
        <v>27802</v>
      </c>
      <c r="D39" t="e">
        <f>C39-Лист1!#REF!*1000</f>
        <v>#REF!</v>
      </c>
      <c r="E39" s="23" t="e">
        <f>C39-Лист1!#REF!*1000</f>
        <v>#REF!</v>
      </c>
      <c r="F39" t="e">
        <f>Лист2!C39-Лист1!#REF!*1000</f>
        <v>#REF!</v>
      </c>
      <c r="G39" t="e">
        <f>C39-Лист1!#REF!*1000</f>
        <v>#REF!</v>
      </c>
      <c r="H39" t="e">
        <f>C39-Лист1!#REF!*1000</f>
        <v>#REF!</v>
      </c>
    </row>
    <row r="40" spans="1:8">
      <c r="A40" t="s">
        <v>33</v>
      </c>
      <c r="C40">
        <f>C39*0.3445</f>
        <v>9577.7889999999989</v>
      </c>
      <c r="D40" t="e">
        <f t="shared" ref="D40:H40" si="10">D39*0.3445</f>
        <v>#REF!</v>
      </c>
      <c r="E40" t="e">
        <f t="shared" si="10"/>
        <v>#REF!</v>
      </c>
      <c r="F40" t="e">
        <f t="shared" si="10"/>
        <v>#REF!</v>
      </c>
      <c r="G40" t="e">
        <f t="shared" si="10"/>
        <v>#REF!</v>
      </c>
      <c r="H40" t="e">
        <f t="shared" si="10"/>
        <v>#REF!</v>
      </c>
    </row>
    <row r="41" spans="1:8">
      <c r="A41" t="s">
        <v>69</v>
      </c>
      <c r="C41">
        <v>5.15</v>
      </c>
      <c r="D41">
        <v>5.15</v>
      </c>
      <c r="E41">
        <v>5.15</v>
      </c>
      <c r="F41">
        <v>5.15</v>
      </c>
      <c r="G41">
        <v>5.15</v>
      </c>
      <c r="H41">
        <v>5.15</v>
      </c>
    </row>
    <row r="42" spans="1:8">
      <c r="A42" t="s">
        <v>71</v>
      </c>
      <c r="C42">
        <f>C39*C41</f>
        <v>143180.30000000002</v>
      </c>
      <c r="D42" t="e">
        <f t="shared" ref="D42:H42" si="11">D39*D41</f>
        <v>#REF!</v>
      </c>
      <c r="E42" t="e">
        <f t="shared" si="11"/>
        <v>#REF!</v>
      </c>
      <c r="F42" t="e">
        <f t="shared" si="11"/>
        <v>#REF!</v>
      </c>
      <c r="G42" t="e">
        <f t="shared" si="11"/>
        <v>#REF!</v>
      </c>
      <c r="H42" t="e">
        <f t="shared" si="11"/>
        <v>#REF!</v>
      </c>
    </row>
    <row r="43" spans="1:8">
      <c r="A43" t="s">
        <v>72</v>
      </c>
      <c r="C43">
        <v>1.2</v>
      </c>
      <c r="D43">
        <v>1.2</v>
      </c>
      <c r="E43">
        <v>1.2</v>
      </c>
      <c r="F43">
        <v>1.2</v>
      </c>
      <c r="G43">
        <v>1.2</v>
      </c>
      <c r="H43">
        <v>1.2</v>
      </c>
    </row>
    <row r="44" spans="1:8">
      <c r="A44" t="s">
        <v>43</v>
      </c>
      <c r="C44">
        <f>C43/C39*100*1000</f>
        <v>4.316236241996978</v>
      </c>
      <c r="D44" t="e">
        <f t="shared" ref="D44:H44" si="12">D43/D39*100*1000</f>
        <v>#REF!</v>
      </c>
      <c r="E44" t="e">
        <f t="shared" si="12"/>
        <v>#REF!</v>
      </c>
      <c r="F44" t="e">
        <f t="shared" si="12"/>
        <v>#REF!</v>
      </c>
      <c r="G44" t="e">
        <f t="shared" si="12"/>
        <v>#REF!</v>
      </c>
      <c r="H44" t="e">
        <f t="shared" si="12"/>
        <v>#REF!</v>
      </c>
    </row>
    <row r="46" spans="1:8">
      <c r="A46" t="s">
        <v>66</v>
      </c>
      <c r="C46">
        <v>67.67</v>
      </c>
      <c r="D46" s="23" t="e">
        <f>C46-Лист1!#REF!</f>
        <v>#REF!</v>
      </c>
      <c r="E46" s="23" t="e">
        <f>C46-Лист1!#REF!</f>
        <v>#REF!</v>
      </c>
      <c r="F46" s="23" t="e">
        <f>C46-Лист1!#REF!</f>
        <v>#REF!</v>
      </c>
      <c r="G46" s="23" t="e">
        <f>C46-Лист1!#REF!</f>
        <v>#REF!</v>
      </c>
      <c r="H46" s="23" t="e">
        <f>C46-Лист1!#REF!</f>
        <v>#REF!</v>
      </c>
    </row>
    <row r="47" spans="1:8">
      <c r="A47" t="s">
        <v>33</v>
      </c>
      <c r="C47">
        <f>C46*0.1486</f>
        <v>10.055762000000001</v>
      </c>
      <c r="D47" t="e">
        <f t="shared" ref="D47:H47" si="13">D46*0.1486</f>
        <v>#REF!</v>
      </c>
      <c r="E47" t="e">
        <f t="shared" si="13"/>
        <v>#REF!</v>
      </c>
      <c r="F47" t="e">
        <f t="shared" si="13"/>
        <v>#REF!</v>
      </c>
      <c r="G47" t="e">
        <f t="shared" si="13"/>
        <v>#REF!</v>
      </c>
      <c r="H47" t="e">
        <f t="shared" si="13"/>
        <v>#REF!</v>
      </c>
    </row>
    <row r="48" spans="1:8">
      <c r="A48" t="s">
        <v>70</v>
      </c>
      <c r="C48">
        <v>1943.5</v>
      </c>
      <c r="D48">
        <v>1943.5</v>
      </c>
      <c r="E48">
        <v>1943.5</v>
      </c>
      <c r="F48">
        <v>1943.5</v>
      </c>
      <c r="G48">
        <v>1943.5</v>
      </c>
      <c r="H48">
        <v>1943.5</v>
      </c>
    </row>
    <row r="49" spans="1:8">
      <c r="A49" t="s">
        <v>71</v>
      </c>
      <c r="C49">
        <f t="shared" ref="C49:H49" si="14">C46*ценатеп</f>
        <v>131516.64499999999</v>
      </c>
      <c r="D49" t="e">
        <f t="shared" si="14"/>
        <v>#REF!</v>
      </c>
      <c r="E49" t="e">
        <f t="shared" si="14"/>
        <v>#REF!</v>
      </c>
      <c r="F49" t="e">
        <f t="shared" si="14"/>
        <v>#REF!</v>
      </c>
      <c r="G49" t="e">
        <f t="shared" si="14"/>
        <v>#REF!</v>
      </c>
      <c r="H49" t="e">
        <f t="shared" si="14"/>
        <v>#REF!</v>
      </c>
    </row>
    <row r="50" spans="1:8">
      <c r="A50" t="s">
        <v>72</v>
      </c>
      <c r="D50">
        <v>9</v>
      </c>
      <c r="E50">
        <v>9</v>
      </c>
      <c r="F50">
        <v>9</v>
      </c>
      <c r="G50">
        <v>9</v>
      </c>
      <c r="H50">
        <v>9</v>
      </c>
    </row>
    <row r="51" spans="1:8">
      <c r="A51" t="s">
        <v>43</v>
      </c>
      <c r="D51" t="e">
        <f>D50/D46*100</f>
        <v>#REF!</v>
      </c>
      <c r="E51" t="e">
        <f>E50/E46*100</f>
        <v>#REF!</v>
      </c>
      <c r="F51" t="e">
        <f>F50/F46*100</f>
        <v>#REF!</v>
      </c>
      <c r="G51" t="e">
        <f>G50/G46*100</f>
        <v>#REF!</v>
      </c>
      <c r="H51" t="e">
        <f>H50/H46*100</f>
        <v>#REF!</v>
      </c>
    </row>
  </sheetData>
  <mergeCells count="2">
    <mergeCell ref="O15:O18"/>
    <mergeCell ref="O23:O26"/>
  </mergeCells>
  <hyperlinks>
    <hyperlink ref="A15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1"/>
  <sheetViews>
    <sheetView zoomScaleNormal="100" workbookViewId="0">
      <selection activeCell="B28" sqref="B28"/>
    </sheetView>
  </sheetViews>
  <sheetFormatPr defaultRowHeight="15"/>
  <cols>
    <col min="1" max="1" width="30.140625" customWidth="1"/>
    <col min="2" max="2" width="18.5703125" customWidth="1"/>
    <col min="3" max="3" width="22.28515625" bestFit="1" customWidth="1"/>
    <col min="4" max="4" width="22.7109375" bestFit="1" customWidth="1"/>
    <col min="10" max="10" width="9.140625" style="20"/>
  </cols>
  <sheetData>
    <row r="1" spans="1:8">
      <c r="A1" s="2"/>
      <c r="B1" s="2"/>
      <c r="C1" s="2"/>
      <c r="D1" s="2"/>
      <c r="E1" s="2"/>
      <c r="F1" s="2"/>
      <c r="G1" s="2"/>
      <c r="H1" s="12" t="s">
        <v>36</v>
      </c>
    </row>
    <row r="2" spans="1:8">
      <c r="A2" s="2" t="s">
        <v>26</v>
      </c>
      <c r="B2" s="2">
        <f>Лист1!AE11*1000</f>
        <v>0</v>
      </c>
      <c r="C2" s="2">
        <f>Лист1!AF11*1000</f>
        <v>0</v>
      </c>
      <c r="D2" s="2">
        <f>Лист1!AG11*1000</f>
        <v>150</v>
      </c>
      <c r="E2" s="2">
        <f>Лист1!AH11*1000</f>
        <v>0</v>
      </c>
      <c r="F2" s="2">
        <f>Лист1!AI11*1000</f>
        <v>0</v>
      </c>
      <c r="G2" s="2">
        <f>SUM(B2:F2)</f>
        <v>150</v>
      </c>
      <c r="H2">
        <f>C2/(1+D2/100)</f>
        <v>0</v>
      </c>
    </row>
    <row r="3" spans="1:8">
      <c r="A3" s="2" t="s">
        <v>28</v>
      </c>
      <c r="B3" s="2">
        <f>Лист1!N11*1000</f>
        <v>0</v>
      </c>
      <c r="C3" s="2">
        <f>Лист1!Q11*1000</f>
        <v>0</v>
      </c>
      <c r="D3" s="2">
        <f>Лист1!T11*1000</f>
        <v>0</v>
      </c>
      <c r="E3" s="2">
        <f>Лист1!W11*1000</f>
        <v>0</v>
      </c>
      <c r="F3" s="2">
        <f>Лист1!Z11*1000</f>
        <v>0</v>
      </c>
      <c r="G3" s="2">
        <f t="shared" ref="G3" si="0">SUM(B3:F3)</f>
        <v>0</v>
      </c>
      <c r="H3">
        <f>C3/(1+D3/100)</f>
        <v>0</v>
      </c>
    </row>
    <row r="4" spans="1:8">
      <c r="A4" s="2" t="s">
        <v>27</v>
      </c>
      <c r="B4" s="2">
        <v>4.9000000000000004</v>
      </c>
      <c r="C4" s="2">
        <v>4.5</v>
      </c>
      <c r="D4" s="2">
        <v>4.3</v>
      </c>
      <c r="E4" s="2">
        <v>4.3</v>
      </c>
      <c r="F4" s="2">
        <v>4.3</v>
      </c>
      <c r="G4" s="2"/>
    </row>
    <row r="5" spans="1:8">
      <c r="A5" s="2" t="s">
        <v>31</v>
      </c>
      <c r="B5" s="2">
        <f>B3/(1+B4/100)</f>
        <v>0</v>
      </c>
      <c r="C5" s="2">
        <f t="shared" ref="C5:F5" si="1">C3/(1+C4/100)</f>
        <v>0</v>
      </c>
      <c r="D5" s="2">
        <f t="shared" si="1"/>
        <v>0</v>
      </c>
      <c r="E5" s="2">
        <f t="shared" si="1"/>
        <v>0</v>
      </c>
      <c r="F5" s="2">
        <f t="shared" si="1"/>
        <v>0</v>
      </c>
      <c r="G5" s="2">
        <f t="shared" ref="G5" si="2">SUM(B5:F5)</f>
        <v>0</v>
      </c>
    </row>
    <row r="6" spans="1:8">
      <c r="A6" s="2" t="s">
        <v>29</v>
      </c>
      <c r="B6" s="2"/>
      <c r="C6" s="2"/>
      <c r="D6" s="2"/>
      <c r="E6" s="2"/>
      <c r="F6" s="2"/>
      <c r="G6" s="2">
        <f>G5-G2</f>
        <v>-150</v>
      </c>
    </row>
    <row r="7" spans="1:8">
      <c r="A7" s="2" t="s">
        <v>30</v>
      </c>
      <c r="B7" s="2"/>
      <c r="C7" s="2"/>
      <c r="D7" s="2"/>
      <c r="E7" s="2"/>
      <c r="F7" s="2"/>
      <c r="G7" s="2">
        <f>(G5/G2-1)*100</f>
        <v>-100</v>
      </c>
    </row>
    <row r="8" spans="1:8">
      <c r="A8" s="2" t="s">
        <v>26</v>
      </c>
      <c r="B8" s="2">
        <f>Лист1!AE12*1000</f>
        <v>0</v>
      </c>
      <c r="C8" s="2">
        <f>Лист1!AF12*1000</f>
        <v>0</v>
      </c>
      <c r="D8" s="2">
        <f>Лист1!AG12*1000</f>
        <v>0</v>
      </c>
      <c r="E8" s="2">
        <f>Лист1!AH12*1000</f>
        <v>0</v>
      </c>
      <c r="F8" s="2">
        <f>Лист1!AI12*1000</f>
        <v>0</v>
      </c>
      <c r="G8" s="2">
        <f>SUM(B8:F8)</f>
        <v>0</v>
      </c>
    </row>
    <row r="9" spans="1:8">
      <c r="A9" s="2" t="s">
        <v>28</v>
      </c>
      <c r="B9" s="2">
        <f>Лист1!N12*1000</f>
        <v>0</v>
      </c>
      <c r="C9" s="2">
        <f>Лист1!Q12*1000</f>
        <v>0</v>
      </c>
      <c r="D9" s="2">
        <f>Лист1!T12*1000</f>
        <v>0</v>
      </c>
      <c r="E9" s="2">
        <f>Лист1!W12*1000</f>
        <v>0</v>
      </c>
      <c r="F9" s="2">
        <f>Лист1!Z12*1000</f>
        <v>0</v>
      </c>
      <c r="G9" s="2">
        <f t="shared" ref="G9:G11" si="3">SUM(B9:F9)</f>
        <v>0</v>
      </c>
    </row>
    <row r="10" spans="1:8">
      <c r="A10" s="2" t="s">
        <v>27</v>
      </c>
      <c r="B10" s="2">
        <v>4.9000000000000004</v>
      </c>
      <c r="C10" s="2">
        <v>4.5</v>
      </c>
      <c r="D10" s="2">
        <v>4.3</v>
      </c>
      <c r="E10" s="2">
        <v>4.3</v>
      </c>
      <c r="F10" s="2">
        <v>4.3</v>
      </c>
      <c r="G10" s="2"/>
    </row>
    <row r="11" spans="1:8">
      <c r="A11" s="2" t="s">
        <v>31</v>
      </c>
      <c r="B11" s="2">
        <f>B9/(1+B10/100)</f>
        <v>0</v>
      </c>
      <c r="C11" s="2">
        <f t="shared" ref="C11:F11" si="4">C9/(1+C10/100)</f>
        <v>0</v>
      </c>
      <c r="D11" s="2">
        <f t="shared" si="4"/>
        <v>0</v>
      </c>
      <c r="E11" s="2">
        <f t="shared" si="4"/>
        <v>0</v>
      </c>
      <c r="F11" s="2">
        <f t="shared" si="4"/>
        <v>0</v>
      </c>
      <c r="G11" s="2">
        <f t="shared" si="3"/>
        <v>0</v>
      </c>
    </row>
    <row r="12" spans="1:8">
      <c r="A12" s="2" t="s">
        <v>29</v>
      </c>
      <c r="B12" s="2"/>
      <c r="C12" s="2"/>
      <c r="D12" s="2"/>
      <c r="E12" s="2"/>
      <c r="F12" s="2"/>
      <c r="G12" s="2">
        <f>G11-G8</f>
        <v>0</v>
      </c>
    </row>
    <row r="13" spans="1:8">
      <c r="A13" s="2" t="s">
        <v>30</v>
      </c>
      <c r="B13" s="2"/>
      <c r="C13" s="2"/>
      <c r="D13" s="2"/>
      <c r="E13" s="2"/>
      <c r="F13" s="2"/>
      <c r="G13" s="2" t="e">
        <f>(G11/G8-1)*100</f>
        <v>#DIV/0!</v>
      </c>
    </row>
    <row r="14" spans="1:8">
      <c r="A14" s="19" t="s">
        <v>26</v>
      </c>
      <c r="B14" s="19">
        <f>Лист1!AE13*1000</f>
        <v>0</v>
      </c>
      <c r="C14" s="19">
        <f>Лист1!AF13*1000</f>
        <v>0</v>
      </c>
      <c r="D14" s="19">
        <f>Лист1!AG13*1000</f>
        <v>0</v>
      </c>
      <c r="E14" s="19">
        <f>Лист1!AH13*1000</f>
        <v>0</v>
      </c>
      <c r="F14" s="19">
        <f>Лист1!AI13*1000</f>
        <v>0</v>
      </c>
      <c r="G14" s="19">
        <f>SUM(B14:F14)</f>
        <v>0</v>
      </c>
    </row>
    <row r="15" spans="1:8">
      <c r="A15" s="19" t="s">
        <v>28</v>
      </c>
      <c r="B15" s="19">
        <f>Лист1!N13*1000</f>
        <v>0</v>
      </c>
      <c r="C15" s="19">
        <f>Лист1!Q13*1000</f>
        <v>0</v>
      </c>
      <c r="D15" s="19">
        <f>Лист1!T13*1000</f>
        <v>0</v>
      </c>
      <c r="E15" s="19">
        <f>Лист1!W13*1000</f>
        <v>0</v>
      </c>
      <c r="F15" s="19">
        <f>Лист1!Z13*1000</f>
        <v>0</v>
      </c>
      <c r="G15" s="19">
        <f t="shared" ref="G15" si="5">SUM(B15:F15)</f>
        <v>0</v>
      </c>
    </row>
    <row r="16" spans="1:8">
      <c r="A16" s="19" t="s">
        <v>27</v>
      </c>
      <c r="B16" s="19">
        <v>4.9000000000000004</v>
      </c>
      <c r="C16" s="19">
        <v>4.5</v>
      </c>
      <c r="D16" s="19">
        <v>4.3</v>
      </c>
      <c r="E16" s="19">
        <v>4.3</v>
      </c>
      <c r="F16" s="19">
        <v>4.3</v>
      </c>
      <c r="G16" s="19"/>
    </row>
    <row r="17" spans="1:10">
      <c r="A17" s="19" t="s">
        <v>31</v>
      </c>
      <c r="B17" s="19">
        <f>B15/(1+B16/100)</f>
        <v>0</v>
      </c>
      <c r="C17" s="19">
        <f t="shared" ref="C17:F17" si="6">C15/(1+C16/100)</f>
        <v>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ref="G17" si="7">SUM(B17:F17)</f>
        <v>0</v>
      </c>
    </row>
    <row r="18" spans="1:10">
      <c r="A18" s="19" t="s">
        <v>29</v>
      </c>
      <c r="B18" s="19"/>
      <c r="C18" s="19"/>
      <c r="D18" s="19"/>
      <c r="E18" s="19"/>
      <c r="F18" s="19"/>
      <c r="G18" s="19">
        <f>G17-G14</f>
        <v>0</v>
      </c>
    </row>
    <row r="19" spans="1:10">
      <c r="A19" s="19" t="s">
        <v>30</v>
      </c>
      <c r="B19" s="19"/>
      <c r="C19" s="19"/>
      <c r="D19" s="19"/>
      <c r="E19" s="19"/>
      <c r="F19" s="19"/>
      <c r="G19" s="19" t="e">
        <f>(G17/G14-1)*100</f>
        <v>#DIV/0!</v>
      </c>
    </row>
    <row r="20" spans="1:10">
      <c r="A20" s="19" t="s">
        <v>26</v>
      </c>
      <c r="B20" s="19">
        <f>Лист1!AE14*1000</f>
        <v>420</v>
      </c>
      <c r="C20" s="19">
        <f>Лист1!AF14*1000</f>
        <v>120</v>
      </c>
      <c r="D20" s="19">
        <f>Лист1!AG14*1000</f>
        <v>120</v>
      </c>
      <c r="E20" s="19">
        <f>Лист1!AH14*1000</f>
        <v>120</v>
      </c>
      <c r="F20" s="19">
        <f>Лист1!AI14*1000</f>
        <v>120</v>
      </c>
      <c r="G20" s="19">
        <f>SUM(B20:F20)</f>
        <v>900</v>
      </c>
    </row>
    <row r="21" spans="1:10">
      <c r="A21" s="19" t="s">
        <v>28</v>
      </c>
      <c r="B21" s="19">
        <f>Лист1!N14*1000</f>
        <v>0</v>
      </c>
      <c r="C21" s="19">
        <f>Лист1!Q14*1000</f>
        <v>0</v>
      </c>
      <c r="D21" s="19">
        <f>Лист1!T14*1000</f>
        <v>0</v>
      </c>
      <c r="E21" s="19">
        <f>Лист1!W14*1000</f>
        <v>0</v>
      </c>
      <c r="F21" s="19">
        <f>Лист1!Z14*1000</f>
        <v>0</v>
      </c>
      <c r="G21" s="19">
        <f t="shared" ref="G21" si="8">SUM(B21:F21)</f>
        <v>0</v>
      </c>
    </row>
    <row r="22" spans="1:10">
      <c r="A22" s="19" t="s">
        <v>27</v>
      </c>
      <c r="B22" s="19">
        <v>4.9000000000000004</v>
      </c>
      <c r="C22" s="19">
        <v>4.5</v>
      </c>
      <c r="D22" s="19">
        <v>4.3</v>
      </c>
      <c r="E22" s="19">
        <v>4.3</v>
      </c>
      <c r="F22" s="19">
        <v>4.3</v>
      </c>
      <c r="G22" s="19"/>
    </row>
    <row r="23" spans="1:10">
      <c r="A23" s="19" t="s">
        <v>31</v>
      </c>
      <c r="B23" s="19">
        <f>B21/(1+B22/100)</f>
        <v>0</v>
      </c>
      <c r="C23" s="19">
        <f t="shared" ref="C23:F23" si="9">C21/(1+C22/100)</f>
        <v>0</v>
      </c>
      <c r="D23" s="19">
        <f t="shared" si="9"/>
        <v>0</v>
      </c>
      <c r="E23" s="19">
        <f t="shared" si="9"/>
        <v>0</v>
      </c>
      <c r="F23" s="19">
        <f t="shared" si="9"/>
        <v>0</v>
      </c>
      <c r="G23" s="19">
        <f t="shared" ref="G23" si="10">SUM(B23:F23)</f>
        <v>0</v>
      </c>
    </row>
    <row r="24" spans="1:10">
      <c r="A24" s="19" t="s">
        <v>29</v>
      </c>
      <c r="B24" s="19"/>
      <c r="C24" s="19"/>
      <c r="D24" s="19"/>
      <c r="E24" s="19"/>
      <c r="F24" s="19"/>
      <c r="G24" s="19">
        <f>G23-G20</f>
        <v>-900</v>
      </c>
    </row>
    <row r="25" spans="1:10">
      <c r="A25" s="19" t="s">
        <v>30</v>
      </c>
      <c r="B25" s="19"/>
      <c r="C25" s="19"/>
      <c r="D25" s="19"/>
      <c r="E25" s="19"/>
      <c r="F25" s="19"/>
      <c r="G25" s="19">
        <f>(G23/G20-1)*100</f>
        <v>-100</v>
      </c>
    </row>
    <row r="26" spans="1:10">
      <c r="A26" s="19" t="s">
        <v>26</v>
      </c>
      <c r="B26" s="19">
        <f>Лист1!AE15*1000</f>
        <v>600</v>
      </c>
      <c r="C26" s="19">
        <f>Лист1!AF15*1000</f>
        <v>600</v>
      </c>
      <c r="D26" s="19">
        <f>Лист1!AG15*1000</f>
        <v>600</v>
      </c>
      <c r="E26" s="19">
        <f>Лист1!AH15*1000</f>
        <v>600</v>
      </c>
      <c r="F26" s="19">
        <f>Лист1!AI15*1000</f>
        <v>600</v>
      </c>
      <c r="G26" s="19">
        <f>SUM(B26:F26)</f>
        <v>3000</v>
      </c>
    </row>
    <row r="27" spans="1:10">
      <c r="A27" s="19" t="s">
        <v>28</v>
      </c>
      <c r="B27" s="19">
        <f>Лист1!N15*1000</f>
        <v>0</v>
      </c>
      <c r="C27" s="19">
        <f>Лист1!Q15*1000</f>
        <v>0</v>
      </c>
      <c r="D27" s="19">
        <f>Лист1!T15*1000</f>
        <v>0</v>
      </c>
      <c r="E27" s="19">
        <f>Лист1!W15*1000</f>
        <v>0</v>
      </c>
      <c r="F27" s="19">
        <f>Лист1!Z15*1000</f>
        <v>0</v>
      </c>
      <c r="G27" s="19">
        <f t="shared" ref="G27" si="11">SUM(B27:F27)</f>
        <v>0</v>
      </c>
    </row>
    <row r="28" spans="1:10">
      <c r="A28" s="19" t="s">
        <v>27</v>
      </c>
      <c r="B28" s="19">
        <v>4.9000000000000004</v>
      </c>
      <c r="C28" s="19">
        <v>4.5</v>
      </c>
      <c r="D28" s="19">
        <v>4.3</v>
      </c>
      <c r="E28" s="19">
        <v>4.3</v>
      </c>
      <c r="F28" s="19">
        <v>4.3</v>
      </c>
      <c r="G28" s="19"/>
    </row>
    <row r="29" spans="1:10">
      <c r="A29" s="19" t="s">
        <v>31</v>
      </c>
      <c r="B29" s="19">
        <f>B27/(1+B28/100)</f>
        <v>0</v>
      </c>
      <c r="C29" s="19">
        <f t="shared" ref="C29:F29" si="12">C27/(1+C28/100)</f>
        <v>0</v>
      </c>
      <c r="D29" s="19">
        <f t="shared" si="12"/>
        <v>0</v>
      </c>
      <c r="E29" s="19">
        <f t="shared" si="12"/>
        <v>0</v>
      </c>
      <c r="F29" s="19">
        <f t="shared" si="12"/>
        <v>0</v>
      </c>
      <c r="G29" s="19">
        <f t="shared" ref="G29" si="13">SUM(B29:F29)</f>
        <v>0</v>
      </c>
      <c r="I29">
        <f>G29/5</f>
        <v>0</v>
      </c>
      <c r="J29" s="20" t="e">
        <f>G26/I29</f>
        <v>#DIV/0!</v>
      </c>
    </row>
    <row r="30" spans="1:10">
      <c r="A30" s="19" t="s">
        <v>29</v>
      </c>
      <c r="B30" s="19"/>
      <c r="C30" s="19"/>
      <c r="D30" s="19"/>
      <c r="E30" s="19"/>
      <c r="F30" s="19"/>
      <c r="G30" s="19">
        <f>G29-G26</f>
        <v>-3000</v>
      </c>
    </row>
    <row r="31" spans="1:10">
      <c r="A31" s="19" t="s">
        <v>30</v>
      </c>
      <c r="B31" s="19"/>
      <c r="C31" s="19"/>
      <c r="D31" s="19"/>
      <c r="E31" s="19"/>
      <c r="F31" s="19"/>
      <c r="G31" s="19">
        <f>(G29/G26-1)*100</f>
        <v>-100</v>
      </c>
    </row>
    <row r="32" spans="1:10">
      <c r="A32" s="19" t="s">
        <v>26</v>
      </c>
      <c r="B32" s="19">
        <f>Лист1!AE16*1000</f>
        <v>0</v>
      </c>
      <c r="C32" s="19">
        <f>Лист1!AF16*1000</f>
        <v>0</v>
      </c>
      <c r="D32" s="19">
        <f>Лист1!AG16*1000</f>
        <v>0</v>
      </c>
      <c r="E32" s="19">
        <f>Лист1!AH16*1000</f>
        <v>0</v>
      </c>
      <c r="F32" s="19">
        <f>Лист1!AI16*1000</f>
        <v>0</v>
      </c>
      <c r="G32" s="19">
        <f>SUM(B32:F32)</f>
        <v>0</v>
      </c>
    </row>
    <row r="33" spans="1:10">
      <c r="A33" s="19" t="s">
        <v>28</v>
      </c>
      <c r="B33" s="19">
        <f>Лист1!N16*1000</f>
        <v>11.950000000000001</v>
      </c>
      <c r="C33" s="19">
        <f>Лист1!Q16*1000</f>
        <v>11.950000000000001</v>
      </c>
      <c r="D33" s="19">
        <f>Лист1!T16*1000</f>
        <v>11.950000000000001</v>
      </c>
      <c r="E33" s="19">
        <f>Лист1!W16*1000</f>
        <v>11.950000000000001</v>
      </c>
      <c r="F33" s="19">
        <f>Лист1!Z16*1000</f>
        <v>11.950000000000001</v>
      </c>
      <c r="G33" s="19">
        <f t="shared" ref="G33" si="14">SUM(B33:F33)</f>
        <v>59.750000000000007</v>
      </c>
    </row>
    <row r="34" spans="1:10">
      <c r="A34" s="19" t="s">
        <v>27</v>
      </c>
      <c r="B34" s="19">
        <v>4.9000000000000004</v>
      </c>
      <c r="C34" s="19">
        <v>4.5</v>
      </c>
      <c r="D34" s="19">
        <v>4.3</v>
      </c>
      <c r="E34" s="19">
        <v>4.3</v>
      </c>
      <c r="F34" s="19">
        <v>4.3</v>
      </c>
      <c r="G34" s="19"/>
    </row>
    <row r="35" spans="1:10">
      <c r="A35" s="19" t="s">
        <v>31</v>
      </c>
      <c r="B35" s="19">
        <f>B33/(1+B34/100)</f>
        <v>11.391801715919925</v>
      </c>
      <c r="C35" s="19">
        <f t="shared" ref="C35:F35" si="15">C33/(1+C34/100)</f>
        <v>11.435406698564595</v>
      </c>
      <c r="D35" s="19">
        <f t="shared" si="15"/>
        <v>11.45733461169703</v>
      </c>
      <c r="E35" s="19">
        <f t="shared" si="15"/>
        <v>11.45733461169703</v>
      </c>
      <c r="F35" s="19">
        <f t="shared" si="15"/>
        <v>11.45733461169703</v>
      </c>
      <c r="G35" s="19">
        <f t="shared" ref="G35" si="16">SUM(B35:F35)</f>
        <v>57.199212249575609</v>
      </c>
    </row>
    <row r="36" spans="1:10">
      <c r="A36" s="19" t="s">
        <v>29</v>
      </c>
      <c r="B36" s="19"/>
      <c r="C36" s="19"/>
      <c r="D36" s="19"/>
      <c r="E36" s="19"/>
      <c r="F36" s="19"/>
      <c r="G36" s="19">
        <f>G35-G32</f>
        <v>57.199212249575609</v>
      </c>
    </row>
    <row r="37" spans="1:10">
      <c r="A37" s="19" t="s">
        <v>30</v>
      </c>
      <c r="B37" s="19"/>
      <c r="C37" s="19"/>
      <c r="D37" s="19"/>
      <c r="E37" s="19"/>
      <c r="F37" s="19"/>
      <c r="G37" s="19" t="e">
        <f>(G35/G32-1)*100</f>
        <v>#DIV/0!</v>
      </c>
    </row>
    <row r="38" spans="1:10">
      <c r="A38" s="19" t="s">
        <v>26</v>
      </c>
      <c r="B38" s="19" t="e">
        <f>Лист1!#REF!*1000</f>
        <v>#REF!</v>
      </c>
      <c r="C38" s="19" t="e">
        <f>Лист1!#REF!*1000</f>
        <v>#REF!</v>
      </c>
      <c r="D38" s="19" t="e">
        <f>Лист1!#REF!*1000</f>
        <v>#REF!</v>
      </c>
      <c r="E38" s="19" t="e">
        <f>Лист1!#REF!*1000</f>
        <v>#REF!</v>
      </c>
      <c r="F38" s="19" t="e">
        <f>Лист1!#REF!*1000</f>
        <v>#REF!</v>
      </c>
      <c r="G38" s="19" t="e">
        <f>SUM(B38:F38)</f>
        <v>#REF!</v>
      </c>
    </row>
    <row r="39" spans="1:10">
      <c r="A39" s="19" t="s">
        <v>28</v>
      </c>
      <c r="B39" s="19" t="e">
        <f>Лист1!#REF!*1000</f>
        <v>#REF!</v>
      </c>
      <c r="C39" s="19" t="e">
        <f>Лист1!#REF!*1000</f>
        <v>#REF!</v>
      </c>
      <c r="D39" s="19" t="e">
        <f>Лист1!#REF!*1000</f>
        <v>#REF!</v>
      </c>
      <c r="E39" s="19" t="e">
        <f>Лист1!#REF!*1000</f>
        <v>#REF!</v>
      </c>
      <c r="F39" s="19" t="e">
        <f>Лист1!#REF!*1000</f>
        <v>#REF!</v>
      </c>
      <c r="G39" s="19" t="e">
        <f t="shared" ref="G39" si="17">SUM(B39:F39)</f>
        <v>#REF!</v>
      </c>
    </row>
    <row r="40" spans="1:10">
      <c r="A40" s="19" t="s">
        <v>27</v>
      </c>
      <c r="B40" s="19">
        <v>4.9000000000000004</v>
      </c>
      <c r="C40" s="19">
        <v>4.5</v>
      </c>
      <c r="D40" s="19">
        <v>4.3</v>
      </c>
      <c r="E40" s="19">
        <v>4.3</v>
      </c>
      <c r="F40" s="19">
        <v>4.3</v>
      </c>
      <c r="G40" s="19"/>
    </row>
    <row r="41" spans="1:10">
      <c r="A41" s="19" t="s">
        <v>31</v>
      </c>
      <c r="B41" s="19" t="e">
        <f>B39/(1+B40/100)</f>
        <v>#REF!</v>
      </c>
      <c r="C41" s="19" t="e">
        <f t="shared" ref="C41:F41" si="18">C39/(1+C40/100)</f>
        <v>#REF!</v>
      </c>
      <c r="D41" s="19" t="e">
        <f t="shared" si="18"/>
        <v>#REF!</v>
      </c>
      <c r="E41" s="19" t="e">
        <f t="shared" si="18"/>
        <v>#REF!</v>
      </c>
      <c r="F41" s="19" t="e">
        <f t="shared" si="18"/>
        <v>#REF!</v>
      </c>
      <c r="G41" s="19" t="e">
        <f t="shared" ref="G41" si="19">SUM(B41:F41)</f>
        <v>#REF!</v>
      </c>
      <c r="I41" t="e">
        <f>G41/5</f>
        <v>#REF!</v>
      </c>
      <c r="J41" s="20" t="e">
        <f>G38/I41</f>
        <v>#REF!</v>
      </c>
    </row>
    <row r="42" spans="1:10">
      <c r="A42" s="19" t="s">
        <v>29</v>
      </c>
      <c r="B42" s="19"/>
      <c r="C42" s="19"/>
      <c r="D42" s="19"/>
      <c r="E42" s="19"/>
      <c r="F42" s="19"/>
      <c r="G42" s="19" t="e">
        <f>G41-G38</f>
        <v>#REF!</v>
      </c>
    </row>
    <row r="43" spans="1:10">
      <c r="A43" s="19" t="s">
        <v>30</v>
      </c>
      <c r="B43" s="19"/>
      <c r="C43" s="19"/>
      <c r="D43" s="19"/>
      <c r="E43" s="19"/>
      <c r="F43" s="19"/>
      <c r="G43" s="19" t="e">
        <f>(G41/G38-1)*100</f>
        <v>#REF!</v>
      </c>
    </row>
    <row r="44" spans="1:10">
      <c r="A44" s="19" t="s">
        <v>26</v>
      </c>
      <c r="B44" s="19" t="e">
        <f>Лист1!#REF!*1000</f>
        <v>#REF!</v>
      </c>
      <c r="C44" s="19" t="e">
        <f>Лист1!#REF!*1000</f>
        <v>#REF!</v>
      </c>
      <c r="D44" s="19" t="e">
        <f>Лист1!#REF!*1000</f>
        <v>#REF!</v>
      </c>
      <c r="E44" s="19" t="e">
        <f>Лист1!#REF!*1000</f>
        <v>#REF!</v>
      </c>
      <c r="F44" s="19" t="e">
        <f>Лист1!#REF!*1000</f>
        <v>#REF!</v>
      </c>
      <c r="G44" s="19" t="e">
        <f>SUM(B44:F44)</f>
        <v>#REF!</v>
      </c>
    </row>
    <row r="45" spans="1:10">
      <c r="A45" s="19" t="s">
        <v>28</v>
      </c>
      <c r="B45" s="19" t="e">
        <f>Лист1!#REF!*1000</f>
        <v>#REF!</v>
      </c>
      <c r="C45" s="19" t="e">
        <f>Лист1!#REF!*1000</f>
        <v>#REF!</v>
      </c>
      <c r="D45" s="19" t="e">
        <f>Лист1!#REF!*1000</f>
        <v>#REF!</v>
      </c>
      <c r="E45" s="19" t="e">
        <f>Лист1!#REF!*1000</f>
        <v>#REF!</v>
      </c>
      <c r="F45" s="19" t="e">
        <f>Лист1!#REF!*1000</f>
        <v>#REF!</v>
      </c>
      <c r="G45" s="19" t="e">
        <f t="shared" ref="G45" si="20">SUM(B45:F45)</f>
        <v>#REF!</v>
      </c>
    </row>
    <row r="46" spans="1:10">
      <c r="A46" s="19" t="s">
        <v>27</v>
      </c>
      <c r="B46" s="19">
        <v>4.9000000000000004</v>
      </c>
      <c r="C46" s="19">
        <v>4.5</v>
      </c>
      <c r="D46" s="19">
        <v>4.3</v>
      </c>
      <c r="E46" s="19">
        <v>4.3</v>
      </c>
      <c r="F46" s="19">
        <v>4.3</v>
      </c>
      <c r="G46" s="19"/>
    </row>
    <row r="47" spans="1:10">
      <c r="A47" s="19" t="s">
        <v>31</v>
      </c>
      <c r="B47" s="19" t="e">
        <f>B45/(1+B46/100)</f>
        <v>#REF!</v>
      </c>
      <c r="C47" s="19" t="e">
        <f t="shared" ref="C47:F47" si="21">C45/(1+C46/100)</f>
        <v>#REF!</v>
      </c>
      <c r="D47" s="19" t="e">
        <f t="shared" si="21"/>
        <v>#REF!</v>
      </c>
      <c r="E47" s="19" t="e">
        <f t="shared" si="21"/>
        <v>#REF!</v>
      </c>
      <c r="F47" s="19" t="e">
        <f t="shared" si="21"/>
        <v>#REF!</v>
      </c>
      <c r="G47" s="19" t="e">
        <f t="shared" ref="G47" si="22">SUM(B47:F47)</f>
        <v>#REF!</v>
      </c>
      <c r="I47" t="e">
        <f>G47/5</f>
        <v>#REF!</v>
      </c>
      <c r="J47" s="20" t="e">
        <f>G44/I47</f>
        <v>#REF!</v>
      </c>
    </row>
    <row r="48" spans="1:10">
      <c r="A48" s="19" t="s">
        <v>29</v>
      </c>
      <c r="B48" s="19"/>
      <c r="C48" s="19"/>
      <c r="D48" s="19"/>
      <c r="E48" s="19"/>
      <c r="F48" s="19"/>
      <c r="G48" s="19" t="e">
        <f>G47-G44</f>
        <v>#REF!</v>
      </c>
    </row>
    <row r="49" spans="1:10">
      <c r="A49" s="19" t="s">
        <v>30</v>
      </c>
      <c r="B49" s="19"/>
      <c r="C49" s="19"/>
      <c r="D49" s="19"/>
      <c r="E49" s="19"/>
      <c r="F49" s="19"/>
      <c r="G49" s="19" t="e">
        <f>(G47/G44-1)*100</f>
        <v>#REF!</v>
      </c>
    </row>
    <row r="50" spans="1:10">
      <c r="A50" s="19" t="s">
        <v>26</v>
      </c>
      <c r="B50" s="19" t="e">
        <f>Лист1!#REF!*1000</f>
        <v>#REF!</v>
      </c>
      <c r="C50" s="19" t="e">
        <f>Лист1!#REF!*1000</f>
        <v>#REF!</v>
      </c>
      <c r="D50" s="19" t="e">
        <f>Лист1!#REF!*1000</f>
        <v>#REF!</v>
      </c>
      <c r="E50" s="19" t="e">
        <f>Лист1!#REF!*1000</f>
        <v>#REF!</v>
      </c>
      <c r="F50" s="19" t="e">
        <f>Лист1!#REF!*1000</f>
        <v>#REF!</v>
      </c>
      <c r="G50" s="19" t="e">
        <f>SUM(B50:F50)</f>
        <v>#REF!</v>
      </c>
    </row>
    <row r="51" spans="1:10">
      <c r="A51" s="19" t="s">
        <v>28</v>
      </c>
      <c r="B51" s="19" t="e">
        <f>Лист1!#REF!*1000</f>
        <v>#REF!</v>
      </c>
      <c r="C51" s="19" t="e">
        <f>Лист1!#REF!*1000</f>
        <v>#REF!</v>
      </c>
      <c r="D51" s="19" t="e">
        <f>Лист1!#REF!*1000</f>
        <v>#REF!</v>
      </c>
      <c r="E51" s="19" t="e">
        <f>Лист1!#REF!*1000</f>
        <v>#REF!</v>
      </c>
      <c r="F51" s="19" t="e">
        <f>Лист1!#REF!*1000</f>
        <v>#REF!</v>
      </c>
      <c r="G51" s="19" t="e">
        <f t="shared" ref="G51" si="23">SUM(B51:F51)</f>
        <v>#REF!</v>
      </c>
    </row>
    <row r="52" spans="1:10">
      <c r="A52" s="19" t="s">
        <v>27</v>
      </c>
      <c r="B52" s="19">
        <v>4.9000000000000004</v>
      </c>
      <c r="C52" s="19">
        <v>4.5</v>
      </c>
      <c r="D52" s="19">
        <v>4.3</v>
      </c>
      <c r="E52" s="19">
        <v>4.3</v>
      </c>
      <c r="F52" s="19">
        <v>4.3</v>
      </c>
      <c r="G52" s="19"/>
    </row>
    <row r="53" spans="1:10">
      <c r="A53" s="19" t="s">
        <v>31</v>
      </c>
      <c r="B53" s="19" t="e">
        <f>B51/(1+B52/100)</f>
        <v>#REF!</v>
      </c>
      <c r="C53" s="19" t="e">
        <f t="shared" ref="C53:F53" si="24">C51/(1+C52/100)</f>
        <v>#REF!</v>
      </c>
      <c r="D53" s="19" t="e">
        <f t="shared" si="24"/>
        <v>#REF!</v>
      </c>
      <c r="E53" s="19" t="e">
        <f t="shared" si="24"/>
        <v>#REF!</v>
      </c>
      <c r="F53" s="19" t="e">
        <f t="shared" si="24"/>
        <v>#REF!</v>
      </c>
      <c r="G53" s="19" t="e">
        <f t="shared" ref="G53" si="25">SUM(B53:F53)</f>
        <v>#REF!</v>
      </c>
      <c r="I53" t="e">
        <f>G53/5</f>
        <v>#REF!</v>
      </c>
      <c r="J53" s="20" t="e">
        <f>G50/I53</f>
        <v>#REF!</v>
      </c>
    </row>
    <row r="54" spans="1:10">
      <c r="A54" s="19" t="s">
        <v>29</v>
      </c>
      <c r="B54" s="19"/>
      <c r="C54" s="19"/>
      <c r="D54" s="19"/>
      <c r="E54" s="19"/>
      <c r="F54" s="19"/>
      <c r="G54" s="19" t="e">
        <f>G53-G50</f>
        <v>#REF!</v>
      </c>
    </row>
    <row r="55" spans="1:10">
      <c r="A55" s="19" t="s">
        <v>30</v>
      </c>
      <c r="B55" s="19"/>
      <c r="C55" s="19"/>
      <c r="D55" s="19"/>
      <c r="E55" s="19"/>
      <c r="F55" s="19"/>
      <c r="G55" s="19" t="e">
        <f>(G53/G50-1)*100</f>
        <v>#REF!</v>
      </c>
    </row>
    <row r="56" spans="1:10">
      <c r="A56" s="19" t="s">
        <v>26</v>
      </c>
      <c r="B56" s="19">
        <f>Лист1!AE17*1000</f>
        <v>0</v>
      </c>
      <c r="C56" s="19">
        <f>Лист1!AF17*1000</f>
        <v>0</v>
      </c>
      <c r="D56" s="19">
        <f>Лист1!AG17*1000</f>
        <v>0</v>
      </c>
      <c r="E56" s="19">
        <f>Лист1!AH17*1000</f>
        <v>0</v>
      </c>
      <c r="F56" s="19">
        <f>Лист1!AI17*1000</f>
        <v>0</v>
      </c>
      <c r="G56" s="19">
        <f>SUM(B56:F56)</f>
        <v>0</v>
      </c>
    </row>
    <row r="57" spans="1:10">
      <c r="A57" s="19" t="s">
        <v>28</v>
      </c>
      <c r="B57" s="19">
        <f>Лист1!N17*1000</f>
        <v>7.17</v>
      </c>
      <c r="C57" s="19">
        <f>Лист1!Q17*1000</f>
        <v>7.17</v>
      </c>
      <c r="D57" s="19">
        <f>Лист1!T17*1000</f>
        <v>7.17</v>
      </c>
      <c r="E57" s="19">
        <f>Лист1!W17*1000</f>
        <v>7.17</v>
      </c>
      <c r="F57" s="19">
        <f>Лист1!Z17*1000</f>
        <v>7.17</v>
      </c>
      <c r="G57" s="19">
        <f t="shared" ref="G57" si="26">SUM(B57:F57)</f>
        <v>35.85</v>
      </c>
    </row>
    <row r="58" spans="1:10">
      <c r="A58" s="19" t="s">
        <v>27</v>
      </c>
      <c r="B58" s="19">
        <v>4.9000000000000004</v>
      </c>
      <c r="C58" s="19">
        <v>4.5</v>
      </c>
      <c r="D58" s="19">
        <v>4.3</v>
      </c>
      <c r="E58" s="19">
        <v>4.3</v>
      </c>
      <c r="F58" s="19">
        <v>4.3</v>
      </c>
      <c r="G58" s="19"/>
    </row>
    <row r="59" spans="1:10">
      <c r="A59" s="19" t="s">
        <v>31</v>
      </c>
      <c r="B59" s="19">
        <f>B57/(1+B58/100)</f>
        <v>6.8350810295519544</v>
      </c>
      <c r="C59" s="19">
        <f t="shared" ref="C59:F59" si="27">C57/(1+C58/100)</f>
        <v>6.8612440191387565</v>
      </c>
      <c r="D59" s="19">
        <f t="shared" si="27"/>
        <v>6.8744007670182175</v>
      </c>
      <c r="E59" s="19">
        <f t="shared" si="27"/>
        <v>6.8744007670182175</v>
      </c>
      <c r="F59" s="19">
        <f t="shared" si="27"/>
        <v>6.8744007670182175</v>
      </c>
      <c r="G59" s="19">
        <f t="shared" ref="G59" si="28">SUM(B59:F59)</f>
        <v>34.319527349745357</v>
      </c>
    </row>
    <row r="60" spans="1:10">
      <c r="A60" s="19" t="s">
        <v>29</v>
      </c>
      <c r="B60" s="19"/>
      <c r="C60" s="19"/>
      <c r="D60" s="19"/>
      <c r="E60" s="19"/>
      <c r="F60" s="19"/>
      <c r="G60" s="19">
        <f>G59-G56</f>
        <v>34.319527349745357</v>
      </c>
    </row>
    <row r="61" spans="1:10">
      <c r="A61" s="19" t="s">
        <v>30</v>
      </c>
      <c r="B61" s="19"/>
      <c r="C61" s="19"/>
      <c r="D61" s="19"/>
      <c r="E61" s="19"/>
      <c r="F61" s="19"/>
      <c r="G61" s="19" t="e">
        <f>(G59/G56-1)*100</f>
        <v>#DIV/0!</v>
      </c>
    </row>
    <row r="62" spans="1:10">
      <c r="A62" s="19" t="s">
        <v>26</v>
      </c>
      <c r="B62" s="19" t="e">
        <f>Лист1!#REF!*1000</f>
        <v>#REF!</v>
      </c>
      <c r="C62" s="19" t="e">
        <f>Лист1!#REF!*1000</f>
        <v>#REF!</v>
      </c>
      <c r="D62" s="19" t="e">
        <f>Лист1!#REF!*1000</f>
        <v>#REF!</v>
      </c>
      <c r="E62" s="19" t="e">
        <f>Лист1!#REF!*1000</f>
        <v>#REF!</v>
      </c>
      <c r="F62" s="19" t="e">
        <f>Лист1!#REF!*1000</f>
        <v>#REF!</v>
      </c>
      <c r="G62" s="19" t="e">
        <f>SUM(B62:F62)</f>
        <v>#REF!</v>
      </c>
    </row>
    <row r="63" spans="1:10">
      <c r="A63" s="19" t="s">
        <v>28</v>
      </c>
      <c r="B63" s="19" t="e">
        <f>Лист1!#REF!*1000</f>
        <v>#REF!</v>
      </c>
      <c r="C63" s="19" t="e">
        <f>Лист1!#REF!*1000</f>
        <v>#REF!</v>
      </c>
      <c r="D63" s="19" t="e">
        <f>Лист1!#REF!*1000</f>
        <v>#REF!</v>
      </c>
      <c r="E63" s="19" t="e">
        <f>Лист1!#REF!*1000</f>
        <v>#REF!</v>
      </c>
      <c r="F63" s="19" t="e">
        <f>Лист1!#REF!*1000</f>
        <v>#REF!</v>
      </c>
      <c r="G63" s="19" t="e">
        <f t="shared" ref="G63" si="29">SUM(B63:F63)</f>
        <v>#REF!</v>
      </c>
    </row>
    <row r="64" spans="1:10">
      <c r="A64" s="19" t="s">
        <v>27</v>
      </c>
      <c r="B64" s="19">
        <v>4.9000000000000004</v>
      </c>
      <c r="C64" s="19">
        <v>4.5</v>
      </c>
      <c r="D64" s="19">
        <v>4.3</v>
      </c>
      <c r="E64" s="19">
        <v>4.3</v>
      </c>
      <c r="F64" s="19">
        <v>4.3</v>
      </c>
      <c r="G64" s="19"/>
    </row>
    <row r="65" spans="1:10">
      <c r="A65" s="19" t="s">
        <v>31</v>
      </c>
      <c r="B65" s="19" t="e">
        <f>B63/(1+B64/100)</f>
        <v>#REF!</v>
      </c>
      <c r="C65" s="19" t="e">
        <f t="shared" ref="C65:F65" si="30">C63/(1+C64/100)</f>
        <v>#REF!</v>
      </c>
      <c r="D65" s="19" t="e">
        <f t="shared" si="30"/>
        <v>#REF!</v>
      </c>
      <c r="E65" s="19" t="e">
        <f t="shared" si="30"/>
        <v>#REF!</v>
      </c>
      <c r="F65" s="19" t="e">
        <f t="shared" si="30"/>
        <v>#REF!</v>
      </c>
      <c r="G65" s="19" t="e">
        <f t="shared" ref="G65" si="31">SUM(B65:F65)</f>
        <v>#REF!</v>
      </c>
      <c r="I65" t="e">
        <f>G65/5</f>
        <v>#REF!</v>
      </c>
      <c r="J65" s="20" t="e">
        <f>G62/I65</f>
        <v>#REF!</v>
      </c>
    </row>
    <row r="66" spans="1:10">
      <c r="A66" s="19" t="s">
        <v>29</v>
      </c>
      <c r="B66" s="19"/>
      <c r="C66" s="19"/>
      <c r="D66" s="19"/>
      <c r="E66" s="19"/>
      <c r="F66" s="19"/>
      <c r="G66" s="19" t="e">
        <f>G65-G62</f>
        <v>#REF!</v>
      </c>
    </row>
    <row r="67" spans="1:10">
      <c r="A67" s="19" t="s">
        <v>30</v>
      </c>
      <c r="B67" s="19"/>
      <c r="C67" s="19"/>
      <c r="D67" s="19"/>
      <c r="E67" s="19"/>
      <c r="F67" s="19"/>
      <c r="G67" s="19" t="e">
        <f>(G65/G62-1)*100</f>
        <v>#REF!</v>
      </c>
    </row>
    <row r="68" spans="1:10">
      <c r="A68" s="19" t="s">
        <v>26</v>
      </c>
      <c r="B68" s="19">
        <f>Лист1!AE18*1000</f>
        <v>50</v>
      </c>
      <c r="C68" s="19">
        <f>Лист1!AF18*1000</f>
        <v>50</v>
      </c>
      <c r="D68" s="19">
        <f>Лист1!AG18*1000</f>
        <v>50</v>
      </c>
      <c r="E68" s="19">
        <f>Лист1!AH18*1000</f>
        <v>50</v>
      </c>
      <c r="F68" s="19">
        <f>Лист1!AI18*1000</f>
        <v>50</v>
      </c>
      <c r="G68" s="19">
        <f>SUM(B68:F68)</f>
        <v>250</v>
      </c>
    </row>
    <row r="69" spans="1:10">
      <c r="A69" s="19" t="s">
        <v>28</v>
      </c>
      <c r="B69" s="19">
        <f>Лист1!N18*1000</f>
        <v>40.630000000000003</v>
      </c>
      <c r="C69" s="19">
        <f>Лист1!Q18*1000</f>
        <v>81.260000000000005</v>
      </c>
      <c r="D69" s="19">
        <f>Лист1!T18*1000</f>
        <v>121.89</v>
      </c>
      <c r="E69" s="19">
        <f>Лист1!W18*1000</f>
        <v>162.52000000000001</v>
      </c>
      <c r="F69" s="19">
        <f>Лист1!Z18*1000</f>
        <v>203.15</v>
      </c>
      <c r="G69" s="19">
        <f t="shared" ref="G69" si="32">SUM(B69:F69)</f>
        <v>609.45000000000005</v>
      </c>
    </row>
    <row r="70" spans="1:10">
      <c r="A70" s="19" t="s">
        <v>27</v>
      </c>
      <c r="B70" s="19">
        <v>4.9000000000000004</v>
      </c>
      <c r="C70" s="19">
        <v>4.5</v>
      </c>
      <c r="D70" s="19">
        <v>4.3</v>
      </c>
      <c r="E70" s="19">
        <v>4.3</v>
      </c>
      <c r="F70" s="19">
        <v>4.3</v>
      </c>
      <c r="G70" s="19"/>
    </row>
    <row r="71" spans="1:10">
      <c r="A71" s="19" t="s">
        <v>31</v>
      </c>
      <c r="B71" s="19">
        <f>B69/(1+B70/100)</f>
        <v>38.732125834127743</v>
      </c>
      <c r="C71" s="19">
        <f t="shared" ref="C71:F71" si="33">C69/(1+C70/100)</f>
        <v>77.760765550239242</v>
      </c>
      <c r="D71" s="19">
        <f t="shared" si="33"/>
        <v>116.86481303930969</v>
      </c>
      <c r="E71" s="19">
        <f t="shared" si="33"/>
        <v>155.81975071907959</v>
      </c>
      <c r="F71" s="19">
        <f t="shared" si="33"/>
        <v>194.77468839884949</v>
      </c>
      <c r="G71" s="19">
        <f t="shared" ref="G71" si="34">SUM(B71:F71)</f>
        <v>583.95214354160578</v>
      </c>
      <c r="I71">
        <f>G71/5</f>
        <v>116.79042870832116</v>
      </c>
      <c r="J71" s="20">
        <f>G68/I71</f>
        <v>2.1405863713743507</v>
      </c>
    </row>
    <row r="72" spans="1:10">
      <c r="A72" s="19" t="s">
        <v>29</v>
      </c>
      <c r="B72" s="19"/>
      <c r="C72" s="19"/>
      <c r="D72" s="19"/>
      <c r="E72" s="19"/>
      <c r="F72" s="19"/>
      <c r="G72" s="19">
        <f>G71-G68</f>
        <v>333.95214354160578</v>
      </c>
    </row>
    <row r="73" spans="1:10">
      <c r="A73" s="19" t="s">
        <v>30</v>
      </c>
      <c r="B73" s="19"/>
      <c r="C73" s="19"/>
      <c r="D73" s="19"/>
      <c r="E73" s="19"/>
      <c r="F73" s="19"/>
      <c r="G73" s="19">
        <f>(G71/G68-1)*100</f>
        <v>133.58085741664229</v>
      </c>
    </row>
    <row r="74" spans="1:10">
      <c r="A74" s="19" t="s">
        <v>26</v>
      </c>
      <c r="B74" s="19">
        <f>Лист1!AE19*1000</f>
        <v>5</v>
      </c>
      <c r="C74" s="19">
        <f>Лист1!AF19*1000</f>
        <v>5</v>
      </c>
      <c r="D74" s="19">
        <f>Лист1!AG19*1000</f>
        <v>50</v>
      </c>
      <c r="E74" s="19">
        <f>Лист1!AH19*1000</f>
        <v>0</v>
      </c>
      <c r="F74" s="19">
        <f>Лист1!AI19*1000</f>
        <v>0</v>
      </c>
      <c r="G74" s="19">
        <f>SUM(B74:F74)</f>
        <v>60</v>
      </c>
    </row>
    <row r="75" spans="1:10">
      <c r="A75" s="19" t="s">
        <v>28</v>
      </c>
      <c r="B75" s="19">
        <f>Лист1!N19*1000</f>
        <v>5.9750000000000005</v>
      </c>
      <c r="C75" s="19">
        <f>Лист1!Q19*1000</f>
        <v>11.950000000000001</v>
      </c>
      <c r="D75" s="19">
        <f>Лист1!T19*1000</f>
        <v>17.925000000000001</v>
      </c>
      <c r="E75" s="19">
        <f>Лист1!W19*1000</f>
        <v>17.925000000000001</v>
      </c>
      <c r="F75" s="19">
        <f>Лист1!Z19*1000</f>
        <v>17.925000000000001</v>
      </c>
      <c r="G75" s="19">
        <f t="shared" ref="G75" si="35">SUM(B75:F75)</f>
        <v>71.7</v>
      </c>
    </row>
    <row r="76" spans="1:10">
      <c r="A76" s="19" t="s">
        <v>27</v>
      </c>
      <c r="B76" s="19">
        <v>4.9000000000000004</v>
      </c>
      <c r="C76" s="19">
        <v>4.5</v>
      </c>
      <c r="D76" s="19">
        <v>4.3</v>
      </c>
      <c r="E76" s="19">
        <v>4.3</v>
      </c>
      <c r="F76" s="19">
        <v>4.3</v>
      </c>
      <c r="G76" s="19"/>
    </row>
    <row r="77" spans="1:10">
      <c r="A77" s="19" t="s">
        <v>31</v>
      </c>
      <c r="B77" s="19">
        <f>B75/(1+B76/100)</f>
        <v>5.6959008579599626</v>
      </c>
      <c r="C77" s="19">
        <f t="shared" ref="C77:F77" si="36">C75/(1+C76/100)</f>
        <v>11.435406698564595</v>
      </c>
      <c r="D77" s="19">
        <f t="shared" si="36"/>
        <v>17.186001917545543</v>
      </c>
      <c r="E77" s="19">
        <f t="shared" si="36"/>
        <v>17.186001917545543</v>
      </c>
      <c r="F77" s="19">
        <f t="shared" si="36"/>
        <v>17.186001917545543</v>
      </c>
      <c r="G77" s="19">
        <f t="shared" ref="G77" si="37">SUM(B77:F77)</f>
        <v>68.689313309161179</v>
      </c>
      <c r="I77">
        <f>G77/5</f>
        <v>13.737862661832235</v>
      </c>
      <c r="J77" s="20">
        <f>G74/I77</f>
        <v>4.3674916161956832</v>
      </c>
    </row>
    <row r="78" spans="1:10">
      <c r="A78" s="19" t="s">
        <v>29</v>
      </c>
      <c r="B78" s="19"/>
      <c r="C78" s="19"/>
      <c r="D78" s="19"/>
      <c r="E78" s="19"/>
      <c r="F78" s="19"/>
      <c r="G78" s="19">
        <f>G77-G74</f>
        <v>8.6893133091611787</v>
      </c>
    </row>
    <row r="79" spans="1:10">
      <c r="A79" s="19" t="s">
        <v>30</v>
      </c>
      <c r="B79" s="19"/>
      <c r="C79" s="19"/>
      <c r="D79" s="19"/>
      <c r="E79" s="19"/>
      <c r="F79" s="19"/>
      <c r="G79" s="19">
        <f>(G77/G74-1)*100</f>
        <v>14.482188848601973</v>
      </c>
    </row>
    <row r="80" spans="1:10">
      <c r="A80" s="19" t="s">
        <v>26</v>
      </c>
      <c r="B80" s="19" t="e">
        <f>Лист1!#REF!*1000</f>
        <v>#REF!</v>
      </c>
      <c r="C80" s="19" t="e">
        <f>Лист1!#REF!*1000</f>
        <v>#REF!</v>
      </c>
      <c r="D80" s="19" t="e">
        <f>Лист1!#REF!*1000</f>
        <v>#REF!</v>
      </c>
      <c r="E80" s="19" t="e">
        <f>Лист1!#REF!*1000</f>
        <v>#REF!</v>
      </c>
      <c r="F80" s="19" t="e">
        <f>Лист1!#REF!*1000</f>
        <v>#REF!</v>
      </c>
      <c r="G80" s="19" t="e">
        <f>SUM(B80:F80)</f>
        <v>#REF!</v>
      </c>
    </row>
    <row r="81" spans="1:10">
      <c r="A81" s="19" t="s">
        <v>28</v>
      </c>
      <c r="B81" s="19" t="e">
        <f>Лист1!#REF!*1000</f>
        <v>#REF!</v>
      </c>
      <c r="C81" s="19" t="e">
        <f>Лист1!#REF!*1000</f>
        <v>#REF!</v>
      </c>
      <c r="D81" s="19" t="e">
        <f>Лист1!#REF!*1000</f>
        <v>#REF!</v>
      </c>
      <c r="E81" s="19" t="e">
        <f>Лист1!#REF!*1000</f>
        <v>#REF!</v>
      </c>
      <c r="F81" s="19" t="e">
        <f>Лист1!#REF!*1000</f>
        <v>#REF!</v>
      </c>
      <c r="G81" s="19" t="e">
        <f t="shared" ref="G81" si="38">SUM(B81:F81)</f>
        <v>#REF!</v>
      </c>
    </row>
    <row r="82" spans="1:10">
      <c r="A82" s="19" t="s">
        <v>27</v>
      </c>
      <c r="B82" s="19">
        <v>4.9000000000000004</v>
      </c>
      <c r="C82" s="19">
        <v>4.5</v>
      </c>
      <c r="D82" s="19">
        <v>4.3</v>
      </c>
      <c r="E82" s="19">
        <v>4.3</v>
      </c>
      <c r="F82" s="19">
        <v>4.3</v>
      </c>
      <c r="G82" s="19"/>
    </row>
    <row r="83" spans="1:10">
      <c r="A83" s="19" t="s">
        <v>31</v>
      </c>
      <c r="B83" s="19" t="e">
        <f>B81/(1+B82/100)</f>
        <v>#REF!</v>
      </c>
      <c r="C83" s="19" t="e">
        <f t="shared" ref="C83:F83" si="39">C81/(1+C82/100)</f>
        <v>#REF!</v>
      </c>
      <c r="D83" s="19" t="e">
        <f t="shared" si="39"/>
        <v>#REF!</v>
      </c>
      <c r="E83" s="19" t="e">
        <f t="shared" si="39"/>
        <v>#REF!</v>
      </c>
      <c r="F83" s="19" t="e">
        <f t="shared" si="39"/>
        <v>#REF!</v>
      </c>
      <c r="G83" s="19" t="e">
        <f t="shared" ref="G83" si="40">SUM(B83:F83)</f>
        <v>#REF!</v>
      </c>
      <c r="I83" t="e">
        <f>G83/5</f>
        <v>#REF!</v>
      </c>
      <c r="J83" s="20" t="e">
        <f>G80/I83</f>
        <v>#REF!</v>
      </c>
    </row>
    <row r="84" spans="1:10">
      <c r="A84" s="19" t="s">
        <v>29</v>
      </c>
      <c r="B84" s="19"/>
      <c r="C84" s="19"/>
      <c r="D84" s="19"/>
      <c r="E84" s="19"/>
      <c r="F84" s="19"/>
      <c r="G84" s="19" t="e">
        <f>G83-G80</f>
        <v>#REF!</v>
      </c>
    </row>
    <row r="85" spans="1:10">
      <c r="A85" s="19" t="s">
        <v>30</v>
      </c>
      <c r="B85" s="19"/>
      <c r="C85" s="19"/>
      <c r="D85" s="19"/>
      <c r="E85" s="19"/>
      <c r="F85" s="19"/>
      <c r="G85" s="19" t="e">
        <f>(G83/G80-1)*100</f>
        <v>#REF!</v>
      </c>
    </row>
    <row r="86" spans="1:10">
      <c r="A86" s="19" t="s">
        <v>26</v>
      </c>
      <c r="B86" s="19" t="e">
        <f>Лист1!#REF!*1000</f>
        <v>#REF!</v>
      </c>
      <c r="C86" s="19" t="e">
        <f>Лист1!#REF!*1000</f>
        <v>#REF!</v>
      </c>
      <c r="D86" s="19" t="e">
        <f>Лист1!#REF!*1000</f>
        <v>#REF!</v>
      </c>
      <c r="E86" s="19" t="e">
        <f>Лист1!#REF!*1000</f>
        <v>#REF!</v>
      </c>
      <c r="F86" s="19" t="e">
        <f>Лист1!#REF!*1000</f>
        <v>#REF!</v>
      </c>
      <c r="G86" s="19" t="e">
        <f>SUM(B86:F86)</f>
        <v>#REF!</v>
      </c>
    </row>
    <row r="87" spans="1:10">
      <c r="A87" s="19" t="s">
        <v>28</v>
      </c>
      <c r="B87" s="19" t="e">
        <f>Лист1!#REF!*1000</f>
        <v>#REF!</v>
      </c>
      <c r="C87" s="19" t="e">
        <f>Лист1!#REF!*1000</f>
        <v>#REF!</v>
      </c>
      <c r="D87" s="19" t="e">
        <f>Лист1!#REF!*1000</f>
        <v>#REF!</v>
      </c>
      <c r="E87" s="19" t="e">
        <f>Лист1!#REF!*1000</f>
        <v>#REF!</v>
      </c>
      <c r="F87" s="19" t="e">
        <f>Лист1!#REF!*1000</f>
        <v>#REF!</v>
      </c>
      <c r="G87" s="19" t="e">
        <f t="shared" ref="G87" si="41">SUM(B87:F87)</f>
        <v>#REF!</v>
      </c>
    </row>
    <row r="88" spans="1:10">
      <c r="A88" s="19" t="s">
        <v>27</v>
      </c>
      <c r="B88" s="19">
        <v>4.9000000000000004</v>
      </c>
      <c r="C88" s="19">
        <v>4.5</v>
      </c>
      <c r="D88" s="19">
        <v>4.3</v>
      </c>
      <c r="E88" s="19">
        <v>4.3</v>
      </c>
      <c r="F88" s="19">
        <v>4.3</v>
      </c>
      <c r="G88" s="19"/>
    </row>
    <row r="89" spans="1:10">
      <c r="A89" s="19" t="s">
        <v>31</v>
      </c>
      <c r="B89" s="19" t="e">
        <f>B87/(1+B88/100)</f>
        <v>#REF!</v>
      </c>
      <c r="C89" s="19" t="e">
        <f t="shared" ref="C89:F89" si="42">C87/(1+C88/100)</f>
        <v>#REF!</v>
      </c>
      <c r="D89" s="19" t="e">
        <f t="shared" si="42"/>
        <v>#REF!</v>
      </c>
      <c r="E89" s="19" t="e">
        <f t="shared" si="42"/>
        <v>#REF!</v>
      </c>
      <c r="F89" s="19" t="e">
        <f t="shared" si="42"/>
        <v>#REF!</v>
      </c>
      <c r="G89" s="19" t="e">
        <f t="shared" ref="G89" si="43">SUM(B89:F89)</f>
        <v>#REF!</v>
      </c>
      <c r="I89" t="e">
        <f>G89/5</f>
        <v>#REF!</v>
      </c>
      <c r="J89" s="20" t="e">
        <f>G86/I89</f>
        <v>#REF!</v>
      </c>
    </row>
    <row r="90" spans="1:10">
      <c r="A90" s="19" t="s">
        <v>29</v>
      </c>
      <c r="B90" s="19"/>
      <c r="C90" s="19"/>
      <c r="D90" s="19"/>
      <c r="E90" s="19"/>
      <c r="F90" s="19"/>
      <c r="G90" s="19" t="e">
        <f>G89-G86</f>
        <v>#REF!</v>
      </c>
    </row>
    <row r="91" spans="1:10">
      <c r="A91" s="19" t="s">
        <v>30</v>
      </c>
      <c r="B91" s="19"/>
      <c r="C91" s="19"/>
      <c r="D91" s="19"/>
      <c r="E91" s="19"/>
      <c r="F91" s="19"/>
      <c r="G91" s="19" t="e">
        <f>(G89/G86-1)*100</f>
        <v>#REF!</v>
      </c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дисконт</vt:lpstr>
      <vt:lpstr>Лист1!Область_печати</vt:lpstr>
      <vt:lpstr>ценапот</vt:lpstr>
      <vt:lpstr>ценатеп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Недашковский Валерий</dc:creator>
  <cp:lastModifiedBy>RePack by Diakov</cp:lastModifiedBy>
  <cp:lastPrinted>2019-04-16T12:17:04Z</cp:lastPrinted>
  <dcterms:created xsi:type="dcterms:W3CDTF">2014-09-02T10:13:56Z</dcterms:created>
  <dcterms:modified xsi:type="dcterms:W3CDTF">2019-04-17T07:18:55Z</dcterms:modified>
</cp:coreProperties>
</file>